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6599" sheetId="2" r:id="rId1"/>
  </sheets>
  <calcPr calcId="124519"/>
</workbook>
</file>

<file path=xl/calcChain.xml><?xml version="1.0" encoding="utf-8"?>
<calcChain xmlns="http://schemas.openxmlformats.org/spreadsheetml/2006/main">
  <c r="D62" i="2"/>
  <c r="D114"/>
  <c r="D69"/>
  <c r="D99" s="1"/>
  <c r="F94"/>
  <c r="D98" s="1"/>
  <c r="D119"/>
  <c r="D120" s="1"/>
  <c r="F89" l="1"/>
  <c r="D84"/>
  <c r="D85" s="1"/>
  <c r="D110"/>
  <c r="D109" s="1"/>
  <c r="D107"/>
  <c r="D102"/>
  <c r="D104" s="1"/>
  <c r="D6"/>
  <c r="D8"/>
  <c r="D16" s="1"/>
  <c r="F115"/>
  <c r="D118"/>
  <c r="D15" l="1"/>
  <c r="D116"/>
  <c r="D81" l="1"/>
  <c r="F80"/>
  <c r="D80" s="1"/>
  <c r="F73"/>
  <c r="D75" s="1"/>
  <c r="D19" l="1"/>
  <c r="D57" l="1"/>
  <c r="D48"/>
  <c r="D55"/>
  <c r="D50"/>
  <c r="D46"/>
  <c r="D52"/>
  <c r="D53" s="1"/>
  <c r="D23"/>
  <c r="D20"/>
  <c r="D26" s="1"/>
  <c r="D27"/>
  <c r="D31" s="1"/>
  <c r="D63" l="1"/>
  <c r="D73"/>
  <c r="D72"/>
  <c r="F72" s="1"/>
  <c r="D24"/>
  <c r="D22"/>
  <c r="D25" s="1"/>
  <c r="D30"/>
  <c r="D43" s="1"/>
  <c r="W299"/>
  <c r="D32" l="1"/>
  <c r="D67"/>
  <c r="D35"/>
  <c r="F88" s="1"/>
  <c r="D36"/>
  <c r="W298" l="1"/>
  <c r="D78"/>
  <c r="D91"/>
  <c r="D38"/>
  <c r="D37"/>
  <c r="D88" s="1"/>
  <c r="D89" s="1"/>
  <c r="D94" s="1"/>
  <c r="D90" l="1"/>
</calcChain>
</file>

<file path=xl/sharedStrings.xml><?xml version="1.0" encoding="utf-8"?>
<sst xmlns="http://schemas.openxmlformats.org/spreadsheetml/2006/main" count="279" uniqueCount="216">
  <si>
    <t>Vin_min</t>
  </si>
  <si>
    <t>В</t>
  </si>
  <si>
    <t>Vout</t>
  </si>
  <si>
    <t>Pout</t>
  </si>
  <si>
    <t>Вт</t>
  </si>
  <si>
    <t>А</t>
  </si>
  <si>
    <t>Резонансная частота:</t>
  </si>
  <si>
    <t>Fr</t>
  </si>
  <si>
    <t>кГц</t>
  </si>
  <si>
    <t>Fmax</t>
  </si>
  <si>
    <t>Коэффициент трансформации:</t>
  </si>
  <si>
    <t>Ом</t>
  </si>
  <si>
    <t>Rac</t>
  </si>
  <si>
    <t>Qmax</t>
  </si>
  <si>
    <t>Xmin</t>
  </si>
  <si>
    <t>Fmin</t>
  </si>
  <si>
    <t>мкГн</t>
  </si>
  <si>
    <t>Lr</t>
  </si>
  <si>
    <t>Минимальный коэффициент передачи (при максимальном напряжении питания):</t>
  </si>
  <si>
    <t>Максимальный коэффициент передачи (при минимальном напряжении питания):</t>
  </si>
  <si>
    <t>Mmin</t>
  </si>
  <si>
    <t>Mmax</t>
  </si>
  <si>
    <t>n</t>
  </si>
  <si>
    <t>k</t>
  </si>
  <si>
    <t>Добротность резонансной цепи:</t>
  </si>
  <si>
    <t>Xmax</t>
  </si>
  <si>
    <t>нФ</t>
  </si>
  <si>
    <t>Cr</t>
  </si>
  <si>
    <t>Fss</t>
  </si>
  <si>
    <t>Lp</t>
  </si>
  <si>
    <t>Lm</t>
  </si>
  <si>
    <t>пФ</t>
  </si>
  <si>
    <t>Rfmin</t>
  </si>
  <si>
    <t>Rfmax</t>
  </si>
  <si>
    <t>кОм</t>
  </si>
  <si>
    <t>Css</t>
  </si>
  <si>
    <t>мкФ</t>
  </si>
  <si>
    <t>Fmin_fakt</t>
  </si>
  <si>
    <t>Fmax_fakt</t>
  </si>
  <si>
    <t>Выходная мощность преобразователя:</t>
  </si>
  <si>
    <t>Выходное напряжение преобразователя (двухполярное):</t>
  </si>
  <si>
    <t>Эквивалентное сопротивление:</t>
  </si>
  <si>
    <t>Расчетное значение минимальной рабочей частоты:</t>
  </si>
  <si>
    <t>Расчетное значение максимальной рабочей частоты:</t>
  </si>
  <si>
    <t>Расчетное значение частоты софт-старта:</t>
  </si>
  <si>
    <t>Индуктивность первичной обмотки полная:</t>
  </si>
  <si>
    <t>Емкость резонансного конденсатора:</t>
  </si>
  <si>
    <t>Отношение Lm/Lr:</t>
  </si>
  <si>
    <t>Максимальное входное напряжение (сетевое, переменное):</t>
  </si>
  <si>
    <t>Vmin</t>
  </si>
  <si>
    <t>Vmax</t>
  </si>
  <si>
    <t>%</t>
  </si>
  <si>
    <t>Максимальный коэффициент передачи с учетом запаса:</t>
  </si>
  <si>
    <t>Mmax_z</t>
  </si>
  <si>
    <t>Mmax_zvs</t>
  </si>
  <si>
    <t>Индуктивность намагничивания:</t>
  </si>
  <si>
    <t>Индуктивность рассеивания:</t>
  </si>
  <si>
    <t>Rfmin_fakt</t>
  </si>
  <si>
    <t>Cf</t>
  </si>
  <si>
    <t>Rfmax_fakt</t>
  </si>
  <si>
    <t>Rfmax_burst</t>
  </si>
  <si>
    <t>Fss_fakt</t>
  </si>
  <si>
    <t>Ilm</t>
  </si>
  <si>
    <t>Ipk</t>
  </si>
  <si>
    <t>Ipk_rms</t>
  </si>
  <si>
    <t>Среднеквадратический ток первичной обмотки трансформатора:</t>
  </si>
  <si>
    <t>Ток намагничивания первичной обмотки трансформатора:</t>
  </si>
  <si>
    <t>Xcr</t>
  </si>
  <si>
    <t>Xca</t>
  </si>
  <si>
    <t>Ra</t>
  </si>
  <si>
    <t>Von</t>
  </si>
  <si>
    <t>Voff</t>
  </si>
  <si>
    <t>Von_fakt</t>
  </si>
  <si>
    <t>Voff_fakt</t>
  </si>
  <si>
    <t>Запас Mmax для гарантированного режима ZVS:</t>
  </si>
  <si>
    <t>Емкость конденсатора Cf:</t>
  </si>
  <si>
    <t>Расчетное сопротивление резистора задающего нижнюю рабочую частоту:</t>
  </si>
  <si>
    <t>Фактическое сопротивление резистора задающего нижнюю рабочую частоту:</t>
  </si>
  <si>
    <t>Фактическое сопротивление резистора задающего верхнюю рабочую частоту:</t>
  </si>
  <si>
    <t>Расчетное сопротивление резистора задающего верхнюю рабочую частоту (без использования пакетного режима работы):</t>
  </si>
  <si>
    <t>Расчетное сопротивление резистора задающего верхнюю рабочую частоту (при использовании пакетного режима работы):</t>
  </si>
  <si>
    <t>Расчетное сопротивление резистора задающего частоту софт-старта:</t>
  </si>
  <si>
    <t>Фактическое сопротивление резистора задающего частоту софт-старта:</t>
  </si>
  <si>
    <t>Фактическое значение частоты софт-старта:</t>
  </si>
  <si>
    <t>Минимальная емкость конденсатора Css:</t>
  </si>
  <si>
    <t>Основные исходные данные</t>
  </si>
  <si>
    <t>Расчет минимальной рабочей частоты</t>
  </si>
  <si>
    <t>Расчет максимальной рабочей частоты</t>
  </si>
  <si>
    <t>Расчет частоты софт-старта</t>
  </si>
  <si>
    <t>Расчет цепи защиты от перегрузки и КЗ</t>
  </si>
  <si>
    <t>Расчет защиты от пониженного входного напряжени</t>
  </si>
  <si>
    <t>Расчет цепи обратной связи</t>
  </si>
  <si>
    <t>Максимальное напряжение питающей шины (постоянное):</t>
  </si>
  <si>
    <t>Минимальное входное напряжение (сетевое, переменное):</t>
  </si>
  <si>
    <t>Напряжение отключения преобразователя (сетевое, переменное):</t>
  </si>
  <si>
    <t>Фактическое минимальное рабочее напряжение (сетевое, переменное):</t>
  </si>
  <si>
    <t>Фактическое напряжение отключения преобразователя (сетевое, переменное):</t>
  </si>
  <si>
    <t xml:space="preserve"> </t>
  </si>
  <si>
    <t>мА</t>
  </si>
  <si>
    <t>Rf</t>
  </si>
  <si>
    <t>Irf</t>
  </si>
  <si>
    <t>Nvc</t>
  </si>
  <si>
    <t>Naux</t>
  </si>
  <si>
    <t>Расчет силового трансформатора</t>
  </si>
  <si>
    <t>Площадь сечения магнитопровода:</t>
  </si>
  <si>
    <t>мм2</t>
  </si>
  <si>
    <t xml:space="preserve">Желаемое значение амплитуды индукции: </t>
  </si>
  <si>
    <t>Тл</t>
  </si>
  <si>
    <t>Витков</t>
  </si>
  <si>
    <t>Плотность тока:</t>
  </si>
  <si>
    <t>А/мм2</t>
  </si>
  <si>
    <t>мм</t>
  </si>
  <si>
    <t>Необходимое число жил провода первичной обмотки (не менее):</t>
  </si>
  <si>
    <t>шт</t>
  </si>
  <si>
    <t>Необходимое число жил провода вторичных обмоток (не менее):</t>
  </si>
  <si>
    <t>Фактическое выходное напряжение обмотки самопитания:</t>
  </si>
  <si>
    <t>Расчет номиналов резонансной цепи</t>
  </si>
  <si>
    <t>Расчет коэффициентов передачи</t>
  </si>
  <si>
    <t>Ae</t>
  </si>
  <si>
    <t>B</t>
  </si>
  <si>
    <t>N1</t>
  </si>
  <si>
    <t>N1_fakt</t>
  </si>
  <si>
    <t>N2</t>
  </si>
  <si>
    <t>N2_fakt</t>
  </si>
  <si>
    <t>Nvc_fakt</t>
  </si>
  <si>
    <t>Uaux</t>
  </si>
  <si>
    <t>Uvc</t>
  </si>
  <si>
    <t>Naux_fakt</t>
  </si>
  <si>
    <t>Фактическое выходное напряжение вспомогательной вторичной обмотки:</t>
  </si>
  <si>
    <t>d1</t>
  </si>
  <si>
    <t>d2</t>
  </si>
  <si>
    <t>Vdu</t>
  </si>
  <si>
    <t>Rb</t>
  </si>
  <si>
    <t>Rc</t>
  </si>
  <si>
    <t>Rl</t>
  </si>
  <si>
    <t>Сопротивление резисторов Rc1 и Rc2:</t>
  </si>
  <si>
    <t>Rfmin||Rfss</t>
  </si>
  <si>
    <t>Rfmin||Rfmax</t>
  </si>
  <si>
    <t>Rfmin||Rfmax_burst</t>
  </si>
  <si>
    <t>Vs</t>
  </si>
  <si>
    <t>Желаемое сопротивление резисторов Ra1 и Ra2:</t>
  </si>
  <si>
    <t>Расчетное сопротивление резисторов Rb1 и Rb2:</t>
  </si>
  <si>
    <t>Фактическое сопротивление резисторов Rb1 и Rb2:</t>
  </si>
  <si>
    <t>Rb_fakt</t>
  </si>
  <si>
    <t>Фактическое выходное напряжение каждой из основных вторичных обмоток:</t>
  </si>
  <si>
    <t>Vfb</t>
  </si>
  <si>
    <t>Фактическое напряжение стабилизации цепи обратной связи:</t>
  </si>
  <si>
    <t>Пиковый коэффициент передачи при минимальном входном напряжении:</t>
  </si>
  <si>
    <t>Пиковый коэффициент передачи при максимальном входном напряжении:</t>
  </si>
  <si>
    <t>Rss_fakt</t>
  </si>
  <si>
    <t>Rss</t>
  </si>
  <si>
    <t>Суммарное сопротивление Rlin1 + Rlin2:</t>
  </si>
  <si>
    <t>Σ Rlin1 + Rlin2</t>
  </si>
  <si>
    <t>Rlin1_fakt</t>
  </si>
  <si>
    <t>Rlin2_fakt</t>
  </si>
  <si>
    <t>Rlin3</t>
  </si>
  <si>
    <t>Rlin3_fakt</t>
  </si>
  <si>
    <t>Фактическое сопротивление Rlin1:</t>
  </si>
  <si>
    <t>Фактическое сопротивление Rlin2:</t>
  </si>
  <si>
    <t>Сопротивление Rlin3:</t>
  </si>
  <si>
    <t>Фактическое сопротивление Rlin3:</t>
  </si>
  <si>
    <t>Nd1</t>
  </si>
  <si>
    <t>Nd2</t>
  </si>
  <si>
    <t>Rcs1</t>
  </si>
  <si>
    <t>Rcs2</t>
  </si>
  <si>
    <t>Rcs3</t>
  </si>
  <si>
    <t>Фактическое сопротивление резистора Rcs1:</t>
  </si>
  <si>
    <t>Фактическое сопротивление резистора Rcs2:</t>
  </si>
  <si>
    <t>Фактическое сопротивление резистора Rcs3:</t>
  </si>
  <si>
    <t>Rcs1||Rcs2</t>
  </si>
  <si>
    <t>Ток нагрузки вывода RFmin (должен быть не более 2 мА):</t>
  </si>
  <si>
    <t>Результирующее сопротивление нагрузки вывода RFmin:</t>
  </si>
  <si>
    <t>Рассчетная суммарная емкость конденсаторов Ccs1 + Ccs 2:</t>
  </si>
  <si>
    <t>Расчетное число витков первичной обмотки силового трансформатора (T1.1):</t>
  </si>
  <si>
    <t>Фактическое число витков первичной обмотки силового трансформатора (T1.1):</t>
  </si>
  <si>
    <t>Расчетное число витков каждой из двух вторичных обмоток (T1.3 и T1.4):</t>
  </si>
  <si>
    <t>Фактическое число витков каждой из двух вторичных обмоток (T1.3 и T1.4):</t>
  </si>
  <si>
    <t>Расчетное число витков вспомогательной вторичной обмотки (T1.5):</t>
  </si>
  <si>
    <t>Фактическое число витков вспомогательной вторичной обмотки (T1.5):</t>
  </si>
  <si>
    <t>Расчетное число витков обмотки самопитания (T1.2):</t>
  </si>
  <si>
    <t>Фактическое число витков обмотки самопитания (T1.2):</t>
  </si>
  <si>
    <t>Желаемый диаметр провода первичной обмотки (T1.1):</t>
  </si>
  <si>
    <t>Желаемый диаметр провода вторичных обмоток (T1.3 и T1.4):</t>
  </si>
  <si>
    <t>Сопротивление нагрузочных резисторов Rl1 … Rl8:</t>
  </si>
  <si>
    <t>Σ Ccs</t>
  </si>
  <si>
    <t>Пиковый ток первичной обмотки трансформатора:</t>
  </si>
  <si>
    <t>j</t>
  </si>
  <si>
    <t>Фактическая емкость конденсатора Cis:</t>
  </si>
  <si>
    <t>Сопротивление резистора Ris:</t>
  </si>
  <si>
    <t>Cis</t>
  </si>
  <si>
    <t>Cis_fakt</t>
  </si>
  <si>
    <t>Ris</t>
  </si>
  <si>
    <t>Rs1, Rs2</t>
  </si>
  <si>
    <t>Расчетное сопротивление стартовых резисторов Rs1 и Rs2 (не более):</t>
  </si>
  <si>
    <t>Расчет сопротивления стартовых и разрядных резисторов</t>
  </si>
  <si>
    <t>Расчетное сопротивление разрядных резисторов Rd3 - Rd8 (не менее):</t>
  </si>
  <si>
    <t>Rd3 - Rd8</t>
  </si>
  <si>
    <t>Минимальное напряжение питающей шины (постоянное):</t>
  </si>
  <si>
    <t>Расчет рабочих частот</t>
  </si>
  <si>
    <t>Расчетное результирующее сопротивление параллельно соединенных резисторов Rcs1||Rcs2||Rcs3:</t>
  </si>
  <si>
    <t>Фактическое результирующее сопротивление параллельно соединенных резисторов Rcs1||Rcs2||Rcs3:</t>
  </si>
  <si>
    <r>
      <t>by</t>
    </r>
    <r>
      <rPr>
        <b/>
        <sz val="11"/>
        <color theme="1"/>
        <rFont val="Calibri"/>
        <family val="2"/>
        <charset val="204"/>
        <scheme val="minor"/>
      </rPr>
      <t xml:space="preserve"> Stelmakh I. (Nem0)</t>
    </r>
    <r>
      <rPr>
        <sz val="11"/>
        <color theme="1"/>
        <rFont val="Calibri"/>
        <family val="2"/>
        <charset val="204"/>
        <scheme val="minor"/>
      </rPr>
      <t xml:space="preserve"> 2019</t>
    </r>
  </si>
  <si>
    <t>Калькулятор для расчета LLC резонансного источника питания на базе L6599</t>
  </si>
  <si>
    <t>Расчетное сопротивление токоограничивающих резисторов Rlim1 и Rlim2:</t>
  </si>
  <si>
    <t>Rlim1, Rlim2</t>
  </si>
  <si>
    <t>Фактическое значение минимальной рабочей частоты:</t>
  </si>
  <si>
    <t>Фактическое значение максимальной рабочей частоты:</t>
  </si>
  <si>
    <t>Проверка величины нагрузки на вывод Rfmin</t>
  </si>
  <si>
    <t>Расчетное значение емкости конденсатора Cis:</t>
  </si>
  <si>
    <t>Rcs</t>
  </si>
  <si>
    <t>Rcs_fakt</t>
  </si>
  <si>
    <t>Номинальное напряжение стабилизации стабилитронов VDu1 и VDu2:</t>
  </si>
  <si>
    <t>Минимальное допустимое сопротивление резисторов Ra1 и Ra2:</t>
  </si>
  <si>
    <t>Ra_min</t>
  </si>
  <si>
    <t>U2</t>
  </si>
  <si>
    <t>Vin_max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</si>
</sst>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64" fontId="0" fillId="5" borderId="0" xfId="0" applyNumberFormat="1" applyFill="1" applyBorder="1" applyProtection="1">
      <protection hidden="1"/>
    </xf>
    <xf numFmtId="164" fontId="0" fillId="7" borderId="0" xfId="0" applyNumberFormat="1" applyFill="1" applyBorder="1" applyProtection="1">
      <protection hidden="1"/>
    </xf>
    <xf numFmtId="1" fontId="0" fillId="5" borderId="0" xfId="0" applyNumberFormat="1" applyFill="1" applyBorder="1" applyProtection="1">
      <protection hidden="1"/>
    </xf>
    <xf numFmtId="0" fontId="0" fillId="7" borderId="0" xfId="0" applyFill="1" applyAlignment="1" applyProtection="1">
      <protection hidden="1"/>
    </xf>
    <xf numFmtId="165" fontId="0" fillId="7" borderId="0" xfId="0" applyNumberFormat="1" applyFill="1" applyAlignment="1" applyProtection="1">
      <protection hidden="1"/>
    </xf>
    <xf numFmtId="0" fontId="0" fillId="7" borderId="0" xfId="0" applyFill="1" applyProtection="1">
      <protection hidden="1"/>
    </xf>
    <xf numFmtId="0" fontId="0" fillId="0" borderId="0" xfId="0" applyProtection="1">
      <protection hidden="1"/>
    </xf>
    <xf numFmtId="0" fontId="0" fillId="7" borderId="0" xfId="0" applyFill="1" applyAlignment="1" applyProtection="1">
      <alignment horizontal="center"/>
      <protection hidden="1"/>
    </xf>
    <xf numFmtId="2" fontId="0" fillId="7" borderId="0" xfId="0" applyNumberFormat="1" applyFill="1" applyProtection="1">
      <protection hidden="1"/>
    </xf>
    <xf numFmtId="165" fontId="6" fillId="7" borderId="0" xfId="0" applyNumberFormat="1" applyFont="1" applyFill="1" applyAlignment="1" applyProtection="1">
      <protection hidden="1"/>
    </xf>
    <xf numFmtId="0" fontId="6" fillId="7" borderId="0" xfId="0" applyFont="1" applyFill="1" applyAlignment="1" applyProtection="1">
      <protection hidden="1"/>
    </xf>
    <xf numFmtId="165" fontId="6" fillId="7" borderId="0" xfId="0" applyNumberFormat="1" applyFont="1" applyFill="1" applyProtection="1">
      <protection hidden="1"/>
    </xf>
    <xf numFmtId="1" fontId="0" fillId="7" borderId="0" xfId="0" applyNumberFormat="1" applyFill="1" applyBorder="1" applyProtection="1">
      <protection hidden="1"/>
    </xf>
    <xf numFmtId="0" fontId="0" fillId="7" borderId="0" xfId="0" applyFill="1" applyAlignment="1" applyProtection="1">
      <alignment horizontal="left" vertical="center"/>
      <protection hidden="1"/>
    </xf>
    <xf numFmtId="2" fontId="0" fillId="7" borderId="0" xfId="0" applyNumberFormat="1" applyFill="1" applyAlignment="1" applyProtection="1">
      <alignment horizontal="right" vertical="center"/>
      <protection hidden="1"/>
    </xf>
    <xf numFmtId="1" fontId="0" fillId="7" borderId="0" xfId="0" applyNumberFormat="1" applyFill="1" applyProtection="1">
      <protection hidden="1"/>
    </xf>
    <xf numFmtId="164" fontId="2" fillId="7" borderId="0" xfId="0" applyNumberFormat="1" applyFont="1" applyFill="1" applyAlignment="1" applyProtection="1">
      <alignment horizontal="right" vertical="center"/>
      <protection hidden="1"/>
    </xf>
    <xf numFmtId="164" fontId="2" fillId="7" borderId="0" xfId="0" applyNumberFormat="1" applyFont="1" applyFill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0" fontId="0" fillId="7" borderId="4" xfId="0" applyFill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 horizontal="left" vertic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5" borderId="5" xfId="0" applyFill="1" applyBorder="1" applyProtection="1">
      <protection hidden="1"/>
    </xf>
    <xf numFmtId="0" fontId="0" fillId="5" borderId="4" xfId="0" applyFill="1" applyBorder="1" applyProtection="1">
      <protection hidden="1"/>
    </xf>
    <xf numFmtId="2" fontId="0" fillId="5" borderId="0" xfId="0" applyNumberFormat="1" applyFill="1" applyBorder="1" applyProtection="1">
      <protection hidden="1"/>
    </xf>
    <xf numFmtId="0" fontId="0" fillId="7" borderId="0" xfId="0" applyFill="1" applyBorder="1" applyAlignment="1" applyProtection="1">
      <alignment horizontal="center"/>
      <protection hidden="1"/>
    </xf>
    <xf numFmtId="2" fontId="0" fillId="7" borderId="0" xfId="0" applyNumberFormat="1" applyFill="1" applyBorder="1" applyProtection="1">
      <protection hidden="1"/>
    </xf>
    <xf numFmtId="0" fontId="0" fillId="7" borderId="5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0" xfId="0" applyFill="1" applyBorder="1" applyAlignment="1" applyProtection="1">
      <alignment horizontal="center"/>
      <protection hidden="1"/>
    </xf>
    <xf numFmtId="1" fontId="0" fillId="6" borderId="0" xfId="0" applyNumberFormat="1" applyFill="1" applyBorder="1" applyProtection="1">
      <protection hidden="1"/>
    </xf>
    <xf numFmtId="0" fontId="0" fillId="6" borderId="5" xfId="0" applyFill="1" applyBorder="1" applyProtection="1">
      <protection hidden="1"/>
    </xf>
    <xf numFmtId="164" fontId="0" fillId="6" borderId="0" xfId="0" applyNumberFormat="1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7" borderId="5" xfId="0" applyFill="1" applyBorder="1" applyAlignment="1" applyProtection="1">
      <protection hidden="1"/>
    </xf>
    <xf numFmtId="0" fontId="0" fillId="6" borderId="4" xfId="0" applyFill="1" applyBorder="1" applyAlignment="1" applyProtection="1">
      <alignment horizontal="left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2" fontId="0" fillId="6" borderId="0" xfId="0" applyNumberFormat="1" applyFill="1" applyBorder="1" applyAlignment="1" applyProtection="1">
      <alignment horizontal="right" vertical="center"/>
      <protection hidden="1"/>
    </xf>
    <xf numFmtId="0" fontId="0" fillId="6" borderId="5" xfId="0" applyFill="1" applyBorder="1" applyAlignment="1" applyProtection="1">
      <alignment horizontal="left" vertical="center"/>
      <protection hidden="1"/>
    </xf>
    <xf numFmtId="0" fontId="0" fillId="5" borderId="5" xfId="0" applyFill="1" applyBorder="1" applyAlignment="1" applyProtection="1">
      <protection hidden="1"/>
    </xf>
    <xf numFmtId="0" fontId="0" fillId="5" borderId="0" xfId="0" applyFill="1" applyBorder="1" applyProtection="1"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left" vertical="center"/>
      <protection hidden="1"/>
    </xf>
    <xf numFmtId="0" fontId="0" fillId="7" borderId="4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6" borderId="0" xfId="0" applyNumberFormat="1" applyFill="1" applyBorder="1" applyAlignment="1" applyProtection="1">
      <alignment horizontal="right"/>
      <protection hidden="1"/>
    </xf>
    <xf numFmtId="0" fontId="0" fillId="6" borderId="5" xfId="0" applyFill="1" applyBorder="1" applyAlignment="1" applyProtection="1">
      <alignment horizontal="left"/>
      <protection hidden="1"/>
    </xf>
    <xf numFmtId="0" fontId="2" fillId="7" borderId="4" xfId="0" applyFont="1" applyFill="1" applyBorder="1" applyAlignment="1" applyProtection="1">
      <alignment horizontal="center"/>
      <protection hidden="1"/>
    </xf>
    <xf numFmtId="0" fontId="2" fillId="7" borderId="0" xfId="0" applyFont="1" applyFill="1" applyBorder="1" applyAlignment="1" applyProtection="1">
      <alignment horizontal="center"/>
      <protection hidden="1"/>
    </xf>
    <xf numFmtId="0" fontId="2" fillId="7" borderId="5" xfId="0" applyFont="1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protection hidden="1"/>
    </xf>
    <xf numFmtId="0" fontId="0" fillId="7" borderId="4" xfId="0" applyFill="1" applyBorder="1" applyAlignment="1" applyProtection="1">
      <protection hidden="1"/>
    </xf>
    <xf numFmtId="0" fontId="0" fillId="9" borderId="6" xfId="0" applyFill="1" applyBorder="1" applyAlignment="1" applyProtection="1">
      <protection hidden="1"/>
    </xf>
    <xf numFmtId="0" fontId="0" fillId="9" borderId="7" xfId="0" applyFill="1" applyBorder="1" applyAlignment="1" applyProtection="1">
      <protection hidden="1"/>
    </xf>
    <xf numFmtId="0" fontId="0" fillId="9" borderId="8" xfId="0" applyFill="1" applyBorder="1" applyAlignment="1" applyProtection="1">
      <protection hidden="1"/>
    </xf>
    <xf numFmtId="165" fontId="2" fillId="7" borderId="0" xfId="0" applyNumberFormat="1" applyFont="1" applyFill="1" applyAlignment="1" applyProtection="1">
      <protection hidden="1"/>
    </xf>
    <xf numFmtId="0" fontId="2" fillId="7" borderId="0" xfId="0" applyFont="1" applyFill="1" applyAlignment="1" applyProtection="1">
      <protection hidden="1"/>
    </xf>
    <xf numFmtId="0" fontId="0" fillId="3" borderId="0" xfId="0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3" fillId="8" borderId="2" xfId="0" applyFont="1" applyFill="1" applyBorder="1" applyAlignment="1" applyProtection="1">
      <alignment horizontal="center"/>
      <protection hidden="1"/>
    </xf>
    <xf numFmtId="0" fontId="3" fillId="8" borderId="3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9"/>
  <sheetViews>
    <sheetView tabSelected="1" workbookViewId="0">
      <selection activeCell="B18" sqref="B18:E18"/>
    </sheetView>
  </sheetViews>
  <sheetFormatPr defaultRowHeight="15"/>
  <cols>
    <col min="1" max="1" width="40.7109375" style="4" customWidth="1"/>
    <col min="2" max="2" width="120.7109375" style="7" customWidth="1"/>
    <col min="3" max="3" width="20.7109375" style="49" customWidth="1"/>
    <col min="4" max="4" width="15.7109375" style="19" customWidth="1"/>
    <col min="5" max="5" width="15.7109375" style="7" customWidth="1"/>
    <col min="6" max="6" width="40.7109375" style="5" customWidth="1"/>
    <col min="7" max="7" width="30.28515625" style="4" customWidth="1"/>
    <col min="8" max="22" width="9.140625" style="4"/>
    <col min="23" max="25" width="9.140625" style="6"/>
    <col min="26" max="16384" width="9.140625" style="7"/>
  </cols>
  <sheetData>
    <row r="1" spans="2:5" ht="15.75" thickBot="1">
      <c r="B1" s="76"/>
      <c r="C1" s="76"/>
      <c r="D1" s="76"/>
      <c r="E1" s="76"/>
    </row>
    <row r="2" spans="2:5">
      <c r="B2" s="82" t="s">
        <v>202</v>
      </c>
      <c r="C2" s="83"/>
      <c r="D2" s="83"/>
      <c r="E2" s="84"/>
    </row>
    <row r="3" spans="2:5">
      <c r="B3" s="20"/>
      <c r="C3" s="21"/>
      <c r="D3" s="21"/>
      <c r="E3" s="22"/>
    </row>
    <row r="4" spans="2:5">
      <c r="B4" s="73" t="s">
        <v>85</v>
      </c>
      <c r="C4" s="74"/>
      <c r="D4" s="74"/>
      <c r="E4" s="75"/>
    </row>
    <row r="5" spans="2:5">
      <c r="B5" s="23" t="s">
        <v>93</v>
      </c>
      <c r="C5" s="24" t="s">
        <v>0</v>
      </c>
      <c r="D5" s="62">
        <v>195</v>
      </c>
      <c r="E5" s="25" t="s">
        <v>1</v>
      </c>
    </row>
    <row r="6" spans="2:5">
      <c r="B6" s="23" t="s">
        <v>197</v>
      </c>
      <c r="C6" s="26" t="s">
        <v>49</v>
      </c>
      <c r="D6" s="3">
        <f>D5*SQRT(2)</f>
        <v>275.77164466275354</v>
      </c>
      <c r="E6" s="27" t="s">
        <v>1</v>
      </c>
    </row>
    <row r="7" spans="2:5">
      <c r="B7" s="23" t="s">
        <v>48</v>
      </c>
      <c r="C7" s="24" t="s">
        <v>215</v>
      </c>
      <c r="D7" s="62">
        <v>265</v>
      </c>
      <c r="E7" s="25" t="s">
        <v>1</v>
      </c>
    </row>
    <row r="8" spans="2:5">
      <c r="B8" s="23" t="s">
        <v>92</v>
      </c>
      <c r="C8" s="26" t="s">
        <v>50</v>
      </c>
      <c r="D8" s="3">
        <f>D7*SQRT(2)</f>
        <v>374.7665940288702</v>
      </c>
      <c r="E8" s="27" t="s">
        <v>1</v>
      </c>
    </row>
    <row r="9" spans="2:5">
      <c r="B9" s="28" t="s">
        <v>40</v>
      </c>
      <c r="C9" s="26" t="s">
        <v>2</v>
      </c>
      <c r="D9" s="63">
        <v>40</v>
      </c>
      <c r="E9" s="27" t="s">
        <v>1</v>
      </c>
    </row>
    <row r="10" spans="2:5">
      <c r="B10" s="28" t="s">
        <v>39</v>
      </c>
      <c r="C10" s="26" t="s">
        <v>3</v>
      </c>
      <c r="D10" s="63">
        <v>350</v>
      </c>
      <c r="E10" s="27" t="s">
        <v>4</v>
      </c>
    </row>
    <row r="11" spans="2:5">
      <c r="B11" s="28" t="s">
        <v>6</v>
      </c>
      <c r="C11" s="26" t="s">
        <v>7</v>
      </c>
      <c r="D11" s="63">
        <v>97</v>
      </c>
      <c r="E11" s="27" t="s">
        <v>8</v>
      </c>
    </row>
    <row r="12" spans="2:5">
      <c r="B12" s="28" t="s">
        <v>47</v>
      </c>
      <c r="C12" s="26" t="s">
        <v>23</v>
      </c>
      <c r="D12" s="64">
        <v>4</v>
      </c>
      <c r="E12" s="27"/>
    </row>
    <row r="13" spans="2:5">
      <c r="B13" s="80"/>
      <c r="C13" s="76"/>
      <c r="D13" s="76"/>
      <c r="E13" s="81"/>
    </row>
    <row r="14" spans="2:5">
      <c r="B14" s="85" t="s">
        <v>194</v>
      </c>
      <c r="C14" s="86"/>
      <c r="D14" s="86"/>
      <c r="E14" s="87"/>
    </row>
    <row r="15" spans="2:5">
      <c r="B15" s="40" t="s">
        <v>193</v>
      </c>
      <c r="C15" s="34" t="s">
        <v>192</v>
      </c>
      <c r="D15" s="50">
        <f>((D6/0.0005)/2)/1000</f>
        <v>275.77164466275354</v>
      </c>
      <c r="E15" s="51" t="s">
        <v>34</v>
      </c>
    </row>
    <row r="16" spans="2:5">
      <c r="B16" s="40" t="s">
        <v>195</v>
      </c>
      <c r="C16" s="34" t="s">
        <v>196</v>
      </c>
      <c r="D16" s="50">
        <f>((D8^2/0.4)/2)/1000</f>
        <v>175.5625</v>
      </c>
      <c r="E16" s="51" t="s">
        <v>34</v>
      </c>
    </row>
    <row r="17" spans="2:5">
      <c r="B17" s="52"/>
      <c r="C17" s="53"/>
      <c r="D17" s="53"/>
      <c r="E17" s="54"/>
    </row>
    <row r="18" spans="2:5">
      <c r="B18" s="67" t="s">
        <v>117</v>
      </c>
      <c r="C18" s="68"/>
      <c r="D18" s="68"/>
      <c r="E18" s="69"/>
    </row>
    <row r="19" spans="2:5">
      <c r="B19" s="28" t="s">
        <v>18</v>
      </c>
      <c r="C19" s="26" t="s">
        <v>20</v>
      </c>
      <c r="D19" s="29">
        <f>SQRT(D12/(D12-1))</f>
        <v>1.1547005383792515</v>
      </c>
      <c r="E19" s="27"/>
    </row>
    <row r="20" spans="2:5">
      <c r="B20" s="28" t="s">
        <v>19</v>
      </c>
      <c r="C20" s="26" t="s">
        <v>21</v>
      </c>
      <c r="D20" s="29">
        <f>(D8/D6)*D19</f>
        <v>1.5692084239512905</v>
      </c>
      <c r="E20" s="27"/>
    </row>
    <row r="21" spans="2:5">
      <c r="B21" s="28" t="s">
        <v>74</v>
      </c>
      <c r="C21" s="26" t="s">
        <v>53</v>
      </c>
      <c r="D21" s="63">
        <v>15</v>
      </c>
      <c r="E21" s="27" t="s">
        <v>51</v>
      </c>
    </row>
    <row r="22" spans="2:5">
      <c r="B22" s="28" t="s">
        <v>52</v>
      </c>
      <c r="C22" s="26" t="s">
        <v>54</v>
      </c>
      <c r="D22" s="29">
        <f>(D20/100)*(100+D21)</f>
        <v>1.804589687543984</v>
      </c>
      <c r="E22" s="27"/>
    </row>
    <row r="23" spans="2:5">
      <c r="B23" s="28" t="s">
        <v>10</v>
      </c>
      <c r="C23" s="26" t="s">
        <v>22</v>
      </c>
      <c r="D23" s="29">
        <f>((D8/2)/(D9*2))*D19</f>
        <v>2.7046449243230928</v>
      </c>
      <c r="E23" s="27"/>
    </row>
    <row r="24" spans="2:5">
      <c r="B24" s="28" t="s">
        <v>41</v>
      </c>
      <c r="C24" s="26" t="s">
        <v>12</v>
      </c>
      <c r="D24" s="29">
        <f>(8*(D23^2)*((D9*2)^2))/((3.14^2)*D10)</f>
        <v>108.53333178782488</v>
      </c>
      <c r="E24" s="27" t="s">
        <v>11</v>
      </c>
    </row>
    <row r="25" spans="2:5">
      <c r="B25" s="28" t="s">
        <v>24</v>
      </c>
      <c r="C25" s="26" t="s">
        <v>13</v>
      </c>
      <c r="D25" s="29">
        <f>(1/D12)*SQRT(((1+D12)*(1-(1/D22^2)))/(D22^2-1))</f>
        <v>0.30977512408139724</v>
      </c>
      <c r="E25" s="27"/>
    </row>
    <row r="26" spans="2:5">
      <c r="B26" s="28" t="s">
        <v>147</v>
      </c>
      <c r="C26" s="26" t="s">
        <v>14</v>
      </c>
      <c r="D26" s="29">
        <f>1/SQRT((1+D12)*(1-(1/(D20^2))))</f>
        <v>0.5803103289843895</v>
      </c>
      <c r="E26" s="27"/>
    </row>
    <row r="27" spans="2:5">
      <c r="B27" s="28" t="s">
        <v>148</v>
      </c>
      <c r="C27" s="26" t="s">
        <v>25</v>
      </c>
      <c r="D27" s="29">
        <f>1/SQRT((1+D12)*(1-(1/(D19^2))))</f>
        <v>0.89442719099991586</v>
      </c>
      <c r="E27" s="27"/>
    </row>
    <row r="28" spans="2:5">
      <c r="B28" s="20"/>
      <c r="C28" s="30"/>
      <c r="D28" s="31"/>
      <c r="E28" s="32"/>
    </row>
    <row r="29" spans="2:5">
      <c r="B29" s="70" t="s">
        <v>198</v>
      </c>
      <c r="C29" s="71"/>
      <c r="D29" s="71"/>
      <c r="E29" s="72"/>
    </row>
    <row r="30" spans="2:5">
      <c r="B30" s="33" t="s">
        <v>42</v>
      </c>
      <c r="C30" s="34" t="s">
        <v>15</v>
      </c>
      <c r="D30" s="35">
        <f>D11*D26</f>
        <v>56.290101911485785</v>
      </c>
      <c r="E30" s="36" t="s">
        <v>8</v>
      </c>
    </row>
    <row r="31" spans="2:5">
      <c r="B31" s="33" t="s">
        <v>43</v>
      </c>
      <c r="C31" s="34" t="s">
        <v>9</v>
      </c>
      <c r="D31" s="35">
        <f>D11*D27</f>
        <v>86.759437526991832</v>
      </c>
      <c r="E31" s="36" t="s">
        <v>8</v>
      </c>
    </row>
    <row r="32" spans="2:5">
      <c r="B32" s="33" t="s">
        <v>44</v>
      </c>
      <c r="C32" s="34" t="s">
        <v>28</v>
      </c>
      <c r="D32" s="35">
        <f>D30*5</f>
        <v>281.45050955742892</v>
      </c>
      <c r="E32" s="36" t="s">
        <v>8</v>
      </c>
    </row>
    <row r="33" spans="2:5">
      <c r="B33" s="20"/>
      <c r="C33" s="30"/>
      <c r="D33" s="31"/>
      <c r="E33" s="32"/>
    </row>
    <row r="34" spans="2:5">
      <c r="B34" s="77" t="s">
        <v>116</v>
      </c>
      <c r="C34" s="78"/>
      <c r="D34" s="78"/>
      <c r="E34" s="79"/>
    </row>
    <row r="35" spans="2:5">
      <c r="B35" s="33" t="s">
        <v>46</v>
      </c>
      <c r="C35" s="34" t="s">
        <v>27</v>
      </c>
      <c r="D35" s="37">
        <f>(1/(6.28*D11*D25*D24))*10^6</f>
        <v>48.826876963019693</v>
      </c>
      <c r="E35" s="36" t="s">
        <v>26</v>
      </c>
    </row>
    <row r="36" spans="2:5">
      <c r="B36" s="33" t="s">
        <v>56</v>
      </c>
      <c r="C36" s="34" t="s">
        <v>17</v>
      </c>
      <c r="D36" s="37">
        <f>((D25*D24)/(6.28*D11))*1000</f>
        <v>55.192275135499557</v>
      </c>
      <c r="E36" s="36" t="s">
        <v>16</v>
      </c>
    </row>
    <row r="37" spans="2:5">
      <c r="B37" s="33" t="s">
        <v>55</v>
      </c>
      <c r="C37" s="34" t="s">
        <v>30</v>
      </c>
      <c r="D37" s="37">
        <f>D36*D12</f>
        <v>220.76910054199823</v>
      </c>
      <c r="E37" s="36" t="s">
        <v>16</v>
      </c>
    </row>
    <row r="38" spans="2:5">
      <c r="B38" s="33" t="s">
        <v>45</v>
      </c>
      <c r="C38" s="34" t="s">
        <v>29</v>
      </c>
      <c r="D38" s="37">
        <f>(D36*D12)+D36</f>
        <v>275.96137567749781</v>
      </c>
      <c r="E38" s="36" t="s">
        <v>16</v>
      </c>
    </row>
    <row r="39" spans="2:5">
      <c r="B39" s="20"/>
      <c r="C39" s="30"/>
      <c r="D39" s="2"/>
      <c r="E39" s="32"/>
    </row>
    <row r="40" spans="2:5">
      <c r="B40" s="67" t="s">
        <v>103</v>
      </c>
      <c r="C40" s="68"/>
      <c r="D40" s="68"/>
      <c r="E40" s="69"/>
    </row>
    <row r="41" spans="2:5">
      <c r="B41" s="28" t="s">
        <v>104</v>
      </c>
      <c r="C41" s="26" t="s">
        <v>118</v>
      </c>
      <c r="D41" s="63">
        <v>125</v>
      </c>
      <c r="E41" s="27" t="s">
        <v>105</v>
      </c>
    </row>
    <row r="42" spans="2:5">
      <c r="B42" s="28" t="s">
        <v>106</v>
      </c>
      <c r="C42" s="26" t="s">
        <v>119</v>
      </c>
      <c r="D42" s="65">
        <v>0.18</v>
      </c>
      <c r="E42" s="27" t="s">
        <v>107</v>
      </c>
    </row>
    <row r="43" spans="2:5">
      <c r="B43" s="28" t="s">
        <v>173</v>
      </c>
      <c r="C43" s="26" t="s">
        <v>120</v>
      </c>
      <c r="D43" s="1">
        <f>(D6/2)/(4*(D30*1000)*((D41*10^-6)*D42))</f>
        <v>27.217301808761533</v>
      </c>
      <c r="E43" s="27" t="s">
        <v>108</v>
      </c>
    </row>
    <row r="44" spans="2:5">
      <c r="B44" s="28" t="s">
        <v>174</v>
      </c>
      <c r="C44" s="26" t="s">
        <v>121</v>
      </c>
      <c r="D44" s="63">
        <v>27</v>
      </c>
      <c r="E44" s="27" t="s">
        <v>108</v>
      </c>
    </row>
    <row r="45" spans="2:5">
      <c r="B45" s="20"/>
      <c r="C45" s="30"/>
      <c r="D45" s="13"/>
      <c r="E45" s="32"/>
    </row>
    <row r="46" spans="2:5">
      <c r="B46" s="28" t="s">
        <v>175</v>
      </c>
      <c r="C46" s="26" t="s">
        <v>122</v>
      </c>
      <c r="D46" s="1">
        <f>D44/(((D8/2)/D9)*D19)</f>
        <v>4.991413060765721</v>
      </c>
      <c r="E46" s="27" t="s">
        <v>108</v>
      </c>
    </row>
    <row r="47" spans="2:5">
      <c r="B47" s="28" t="s">
        <v>176</v>
      </c>
      <c r="C47" s="26" t="s">
        <v>123</v>
      </c>
      <c r="D47" s="63">
        <v>5</v>
      </c>
      <c r="E47" s="27" t="s">
        <v>108</v>
      </c>
    </row>
    <row r="48" spans="2:5">
      <c r="B48" s="28" t="s">
        <v>144</v>
      </c>
      <c r="C48" s="26" t="s">
        <v>214</v>
      </c>
      <c r="D48" s="1">
        <f>((D8/2)/D44)*D47*D19</f>
        <v>40.068813693675445</v>
      </c>
      <c r="E48" s="27" t="s">
        <v>1</v>
      </c>
    </row>
    <row r="49" spans="2:5">
      <c r="B49" s="20"/>
      <c r="C49" s="30"/>
      <c r="D49" s="2"/>
      <c r="E49" s="32"/>
    </row>
    <row r="50" spans="2:5">
      <c r="B50" s="47" t="s">
        <v>179</v>
      </c>
      <c r="C50" s="26" t="s">
        <v>101</v>
      </c>
      <c r="D50" s="1">
        <f>D44/(((D8/2)/19)*D19)</f>
        <v>2.3709212038637175</v>
      </c>
      <c r="E50" s="27" t="s">
        <v>108</v>
      </c>
    </row>
    <row r="51" spans="2:5">
      <c r="B51" s="47" t="s">
        <v>180</v>
      </c>
      <c r="C51" s="26" t="s">
        <v>124</v>
      </c>
      <c r="D51" s="63">
        <v>3</v>
      </c>
      <c r="E51" s="27" t="s">
        <v>108</v>
      </c>
    </row>
    <row r="52" spans="2:5">
      <c r="B52" s="47" t="s">
        <v>115</v>
      </c>
      <c r="C52" s="26" t="s">
        <v>126</v>
      </c>
      <c r="D52" s="1">
        <f>((D8/2)/D44)*D51*D19</f>
        <v>24.041288216205267</v>
      </c>
      <c r="E52" s="27" t="s">
        <v>1</v>
      </c>
    </row>
    <row r="53" spans="2:5">
      <c r="B53" s="47" t="s">
        <v>203</v>
      </c>
      <c r="C53" s="26" t="s">
        <v>204</v>
      </c>
      <c r="D53" s="3">
        <f>((((D52-0.65)-15)/2)/0.018)*2</f>
        <v>466.18267867807049</v>
      </c>
      <c r="E53" s="27" t="s">
        <v>11</v>
      </c>
    </row>
    <row r="54" spans="2:5">
      <c r="B54" s="48"/>
      <c r="C54" s="30"/>
      <c r="D54" s="31"/>
      <c r="E54" s="32"/>
    </row>
    <row r="55" spans="2:5">
      <c r="B55" s="47" t="s">
        <v>177</v>
      </c>
      <c r="C55" s="26" t="s">
        <v>102</v>
      </c>
      <c r="D55" s="1">
        <f>D44/(((D8/2)/19)*D19)</f>
        <v>2.3709212038637175</v>
      </c>
      <c r="E55" s="27" t="s">
        <v>108</v>
      </c>
    </row>
    <row r="56" spans="2:5">
      <c r="B56" s="47" t="s">
        <v>178</v>
      </c>
      <c r="C56" s="26" t="s">
        <v>127</v>
      </c>
      <c r="D56" s="63">
        <v>3</v>
      </c>
      <c r="E56" s="27" t="s">
        <v>108</v>
      </c>
    </row>
    <row r="57" spans="2:5">
      <c r="B57" s="47" t="s">
        <v>128</v>
      </c>
      <c r="C57" s="26" t="s">
        <v>125</v>
      </c>
      <c r="D57" s="1">
        <f>((D8/2)/D44)*D56*D19</f>
        <v>24.041288216205267</v>
      </c>
      <c r="E57" s="27" t="s">
        <v>1</v>
      </c>
    </row>
    <row r="58" spans="2:5">
      <c r="B58" s="20"/>
      <c r="C58" s="30"/>
      <c r="D58" s="31"/>
      <c r="E58" s="32"/>
    </row>
    <row r="59" spans="2:5">
      <c r="B59" s="28" t="s">
        <v>109</v>
      </c>
      <c r="C59" s="26" t="s">
        <v>186</v>
      </c>
      <c r="D59" s="63">
        <v>7</v>
      </c>
      <c r="E59" s="27" t="s">
        <v>110</v>
      </c>
    </row>
    <row r="60" spans="2:5">
      <c r="B60" s="28" t="s">
        <v>181</v>
      </c>
      <c r="C60" s="26" t="s">
        <v>129</v>
      </c>
      <c r="D60" s="65">
        <v>0.1</v>
      </c>
      <c r="E60" s="27" t="s">
        <v>111</v>
      </c>
    </row>
    <row r="61" spans="2:5">
      <c r="B61" s="28" t="s">
        <v>182</v>
      </c>
      <c r="C61" s="26" t="s">
        <v>130</v>
      </c>
      <c r="D61" s="65">
        <v>0.1</v>
      </c>
      <c r="E61" s="27" t="s">
        <v>111</v>
      </c>
    </row>
    <row r="62" spans="2:5">
      <c r="B62" s="28" t="s">
        <v>112</v>
      </c>
      <c r="C62" s="26" t="s">
        <v>161</v>
      </c>
      <c r="D62" s="3">
        <f>((D10/(D6/2))/D59)/(((D60/2)^2)*3.14)</f>
        <v>46.193485623814951</v>
      </c>
      <c r="E62" s="27" t="s">
        <v>113</v>
      </c>
    </row>
    <row r="63" spans="2:5">
      <c r="B63" s="28" t="s">
        <v>114</v>
      </c>
      <c r="C63" s="26" t="s">
        <v>162</v>
      </c>
      <c r="D63" s="3">
        <f>((D10/((D48*2))/D59))/(((D61/2)^2)*3.14)</f>
        <v>79.481099693721674</v>
      </c>
      <c r="E63" s="27" t="s">
        <v>113</v>
      </c>
    </row>
    <row r="64" spans="2:5">
      <c r="B64" s="20"/>
      <c r="C64" s="30"/>
      <c r="D64" s="31"/>
      <c r="E64" s="32"/>
    </row>
    <row r="65" spans="1:8">
      <c r="B65" s="67" t="s">
        <v>86</v>
      </c>
      <c r="C65" s="68"/>
      <c r="D65" s="68"/>
      <c r="E65" s="69"/>
    </row>
    <row r="66" spans="1:8">
      <c r="B66" s="28" t="s">
        <v>75</v>
      </c>
      <c r="C66" s="26" t="s">
        <v>58</v>
      </c>
      <c r="D66" s="63">
        <v>570</v>
      </c>
      <c r="E66" s="27" t="s">
        <v>31</v>
      </c>
    </row>
    <row r="67" spans="1:8">
      <c r="B67" s="28" t="s">
        <v>76</v>
      </c>
      <c r="C67" s="26" t="s">
        <v>32</v>
      </c>
      <c r="D67" s="29">
        <f>(1/(3*(D66*10^-12)*(D30*1000)))/1000</f>
        <v>10.38895475010859</v>
      </c>
      <c r="E67" s="27" t="s">
        <v>34</v>
      </c>
    </row>
    <row r="68" spans="1:8">
      <c r="B68" s="28" t="s">
        <v>77</v>
      </c>
      <c r="C68" s="26" t="s">
        <v>57</v>
      </c>
      <c r="D68" s="66">
        <v>10</v>
      </c>
      <c r="E68" s="27" t="s">
        <v>34</v>
      </c>
    </row>
    <row r="69" spans="1:8">
      <c r="B69" s="28" t="s">
        <v>205</v>
      </c>
      <c r="C69" s="26" t="s">
        <v>37</v>
      </c>
      <c r="D69" s="29">
        <f>(1/(3*(D66*10^-12)*(D68*1000)))/1000</f>
        <v>58.479532163742682</v>
      </c>
      <c r="E69" s="27" t="s">
        <v>8</v>
      </c>
    </row>
    <row r="70" spans="1:8">
      <c r="B70" s="20"/>
      <c r="C70" s="30"/>
      <c r="D70" s="31"/>
      <c r="E70" s="32"/>
      <c r="F70" s="10"/>
      <c r="G70" s="11"/>
    </row>
    <row r="71" spans="1:8">
      <c r="B71" s="67" t="s">
        <v>87</v>
      </c>
      <c r="C71" s="68"/>
      <c r="D71" s="68"/>
      <c r="E71" s="69"/>
      <c r="F71" s="10"/>
      <c r="G71" s="11"/>
    </row>
    <row r="72" spans="1:8">
      <c r="B72" s="28" t="s">
        <v>79</v>
      </c>
      <c r="C72" s="26" t="s">
        <v>33</v>
      </c>
      <c r="D72" s="29">
        <f>(D68/((D31/D69)-1))</f>
        <v>20.678828805325193</v>
      </c>
      <c r="E72" s="27" t="s">
        <v>34</v>
      </c>
      <c r="F72" s="10">
        <f>(D68*D72)/(D68+D72)</f>
        <v>6.7404231551811353</v>
      </c>
      <c r="G72" s="11" t="s">
        <v>137</v>
      </c>
    </row>
    <row r="73" spans="1:8">
      <c r="B73" s="28" t="s">
        <v>80</v>
      </c>
      <c r="C73" s="26" t="s">
        <v>60</v>
      </c>
      <c r="D73" s="29">
        <f>(3/8)*(D68/((D31/D69)-1))</f>
        <v>7.7545608019969468</v>
      </c>
      <c r="E73" s="27" t="s">
        <v>34</v>
      </c>
      <c r="F73" s="10">
        <f>(D68*D74)/(D68+D74)</f>
        <v>4.2857142857142856</v>
      </c>
      <c r="G73" s="11" t="s">
        <v>138</v>
      </c>
    </row>
    <row r="74" spans="1:8">
      <c r="A74" s="61"/>
      <c r="B74" s="28" t="s">
        <v>78</v>
      </c>
      <c r="C74" s="26" t="s">
        <v>59</v>
      </c>
      <c r="D74" s="65">
        <v>7.5</v>
      </c>
      <c r="E74" s="27" t="s">
        <v>34</v>
      </c>
      <c r="F74" s="10"/>
      <c r="G74" s="11"/>
    </row>
    <row r="75" spans="1:8">
      <c r="B75" s="28" t="s">
        <v>206</v>
      </c>
      <c r="C75" s="26" t="s">
        <v>38</v>
      </c>
      <c r="D75" s="3">
        <f>(1/(3*(D66*10^-12)*(F73*1000)))/1000</f>
        <v>136.45224171539959</v>
      </c>
      <c r="E75" s="27" t="s">
        <v>8</v>
      </c>
      <c r="H75" s="11"/>
    </row>
    <row r="76" spans="1:8">
      <c r="B76" s="20"/>
      <c r="C76" s="30"/>
      <c r="D76" s="31"/>
      <c r="E76" s="32"/>
      <c r="F76" s="60"/>
      <c r="G76" s="61"/>
      <c r="H76" s="11"/>
    </row>
    <row r="77" spans="1:8">
      <c r="B77" s="67" t="s">
        <v>88</v>
      </c>
      <c r="C77" s="68"/>
      <c r="D77" s="68"/>
      <c r="E77" s="69"/>
      <c r="F77" s="10"/>
      <c r="G77" s="11"/>
      <c r="H77" s="11"/>
    </row>
    <row r="78" spans="1:8">
      <c r="B78" s="28" t="s">
        <v>81</v>
      </c>
      <c r="C78" s="26" t="s">
        <v>150</v>
      </c>
      <c r="D78" s="29">
        <f>(D68/((D32/D69)-1))</f>
        <v>2.6227418853929563</v>
      </c>
      <c r="E78" s="27" t="s">
        <v>34</v>
      </c>
      <c r="F78" s="10"/>
      <c r="G78" s="11"/>
      <c r="H78" s="11"/>
    </row>
    <row r="79" spans="1:8">
      <c r="B79" s="28" t="s">
        <v>82</v>
      </c>
      <c r="C79" s="26" t="s">
        <v>149</v>
      </c>
      <c r="D79" s="65">
        <v>3</v>
      </c>
      <c r="E79" s="27" t="s">
        <v>34</v>
      </c>
      <c r="F79" s="10"/>
      <c r="G79" s="11"/>
      <c r="H79" s="11"/>
    </row>
    <row r="80" spans="1:8">
      <c r="B80" s="28" t="s">
        <v>83</v>
      </c>
      <c r="C80" s="26" t="s">
        <v>61</v>
      </c>
      <c r="D80" s="3">
        <f>(1/(3*(D66*10^-12)*(F80*1000)))/1000</f>
        <v>253.411306042885</v>
      </c>
      <c r="E80" s="27" t="s">
        <v>8</v>
      </c>
      <c r="F80" s="10">
        <f>(D68*D79)/(D68+D79)</f>
        <v>2.3076923076923075</v>
      </c>
      <c r="G80" s="11" t="s">
        <v>136</v>
      </c>
      <c r="H80" s="11"/>
    </row>
    <row r="81" spans="1:9">
      <c r="B81" s="28" t="s">
        <v>84</v>
      </c>
      <c r="C81" s="26" t="s">
        <v>35</v>
      </c>
      <c r="D81" s="29">
        <f>5/D79</f>
        <v>1.6666666666666667</v>
      </c>
      <c r="E81" s="27" t="s">
        <v>36</v>
      </c>
      <c r="F81" s="10"/>
      <c r="G81" s="11"/>
      <c r="H81" s="11"/>
    </row>
    <row r="82" spans="1:9">
      <c r="B82" s="20"/>
      <c r="C82" s="38"/>
      <c r="D82" s="38"/>
      <c r="E82" s="39"/>
      <c r="F82" s="10"/>
      <c r="G82" s="11"/>
      <c r="H82" s="11"/>
    </row>
    <row r="83" spans="1:9">
      <c r="B83" s="70" t="s">
        <v>207</v>
      </c>
      <c r="C83" s="71"/>
      <c r="D83" s="71"/>
      <c r="E83" s="72"/>
      <c r="F83" s="10"/>
      <c r="G83" s="11"/>
      <c r="H83" s="11"/>
    </row>
    <row r="84" spans="1:9">
      <c r="B84" s="40" t="s">
        <v>171</v>
      </c>
      <c r="C84" s="41" t="s">
        <v>99</v>
      </c>
      <c r="D84" s="42">
        <f>(D68*D74)/(D68+D74)</f>
        <v>4.2857142857142856</v>
      </c>
      <c r="E84" s="43" t="s">
        <v>34</v>
      </c>
      <c r="F84" s="60"/>
      <c r="G84" s="61"/>
      <c r="H84" s="61"/>
      <c r="I84" s="61"/>
    </row>
    <row r="85" spans="1:9">
      <c r="A85" s="4" t="s">
        <v>97</v>
      </c>
      <c r="B85" s="40" t="s">
        <v>170</v>
      </c>
      <c r="C85" s="41" t="s">
        <v>100</v>
      </c>
      <c r="D85" s="42">
        <f>2/D84</f>
        <v>0.46666666666666667</v>
      </c>
      <c r="E85" s="43" t="s">
        <v>98</v>
      </c>
      <c r="F85" s="60"/>
      <c r="G85" s="61"/>
      <c r="H85" s="61"/>
      <c r="I85" s="61"/>
    </row>
    <row r="86" spans="1:9">
      <c r="B86" s="20"/>
      <c r="C86" s="38"/>
      <c r="D86" s="38"/>
      <c r="E86" s="39"/>
      <c r="F86" s="10"/>
      <c r="G86" s="11"/>
      <c r="H86" s="61"/>
      <c r="I86" s="61"/>
    </row>
    <row r="87" spans="1:9">
      <c r="B87" s="67" t="s">
        <v>89</v>
      </c>
      <c r="C87" s="68"/>
      <c r="D87" s="68"/>
      <c r="E87" s="69"/>
      <c r="F87" s="10"/>
      <c r="G87" s="11"/>
      <c r="H87" s="61"/>
      <c r="I87" s="61"/>
    </row>
    <row r="88" spans="1:9">
      <c r="B88" s="28" t="s">
        <v>66</v>
      </c>
      <c r="C88" s="26" t="s">
        <v>62</v>
      </c>
      <c r="D88" s="29">
        <f>(D9*D23)/(2*(D37*10^-6)*2*(D11*1000))</f>
        <v>1.2629909392076024</v>
      </c>
      <c r="E88" s="44" t="s">
        <v>5</v>
      </c>
      <c r="F88" s="10">
        <f>1/(6.28*(D69*1000)*(D35*10^-9))</f>
        <v>55.767030489539906</v>
      </c>
      <c r="G88" s="11" t="s">
        <v>67</v>
      </c>
      <c r="H88" s="61"/>
      <c r="I88" s="61"/>
    </row>
    <row r="89" spans="1:9">
      <c r="B89" s="28" t="s">
        <v>185</v>
      </c>
      <c r="C89" s="26" t="s">
        <v>63</v>
      </c>
      <c r="D89" s="29">
        <f>SQRT(((D10/(D6/2))^2)+((D88)^2))</f>
        <v>2.8351852906949659</v>
      </c>
      <c r="E89" s="44" t="s">
        <v>5</v>
      </c>
      <c r="F89" s="10">
        <f>1/(6.28*(D69*1000)*(D92*10^-12))</f>
        <v>5793.4679495866649</v>
      </c>
      <c r="G89" s="11" t="s">
        <v>68</v>
      </c>
      <c r="H89" s="61"/>
      <c r="I89" s="61"/>
    </row>
    <row r="90" spans="1:9">
      <c r="B90" s="28" t="s">
        <v>65</v>
      </c>
      <c r="C90" s="26" t="s">
        <v>64</v>
      </c>
      <c r="D90" s="29">
        <f>D89/1.4</f>
        <v>2.0251323504964045</v>
      </c>
      <c r="E90" s="44" t="s">
        <v>5</v>
      </c>
      <c r="F90" s="10"/>
      <c r="G90" s="11"/>
      <c r="H90" s="61"/>
      <c r="I90" s="61"/>
    </row>
    <row r="91" spans="1:9">
      <c r="B91" s="28" t="s">
        <v>208</v>
      </c>
      <c r="C91" s="26" t="s">
        <v>189</v>
      </c>
      <c r="D91" s="1">
        <f>(D35/100)*1000</f>
        <v>488.26876963019691</v>
      </c>
      <c r="E91" s="44" t="s">
        <v>31</v>
      </c>
      <c r="F91" s="10"/>
      <c r="G91" s="11"/>
      <c r="H91" s="61"/>
      <c r="I91" s="61"/>
    </row>
    <row r="92" spans="1:9">
      <c r="B92" s="28" t="s">
        <v>187</v>
      </c>
      <c r="C92" s="26" t="s">
        <v>190</v>
      </c>
      <c r="D92" s="64">
        <v>470</v>
      </c>
      <c r="E92" s="44" t="s">
        <v>31</v>
      </c>
      <c r="F92" s="10"/>
      <c r="G92" s="11"/>
      <c r="H92" s="61"/>
      <c r="I92" s="61"/>
    </row>
    <row r="93" spans="1:9">
      <c r="B93" s="28" t="s">
        <v>188</v>
      </c>
      <c r="C93" s="26" t="s">
        <v>191</v>
      </c>
      <c r="D93" s="64">
        <v>4.7</v>
      </c>
      <c r="E93" s="44" t="s">
        <v>34</v>
      </c>
      <c r="F93" s="10"/>
      <c r="G93" s="11"/>
      <c r="H93" s="61"/>
      <c r="I93" s="61"/>
    </row>
    <row r="94" spans="1:9">
      <c r="B94" s="28" t="s">
        <v>199</v>
      </c>
      <c r="C94" s="26" t="s">
        <v>209</v>
      </c>
      <c r="D94" s="3">
        <f>((0.8*3.14)/(D89*2))*(SQRT(((D93*1000)^2)+(F89^2))/F88)</f>
        <v>59.262493615239997</v>
      </c>
      <c r="E94" s="44" t="s">
        <v>11</v>
      </c>
      <c r="F94" s="10">
        <f>(D95*D96)/(D95+D96)</f>
        <v>75</v>
      </c>
      <c r="G94" s="11" t="s">
        <v>169</v>
      </c>
      <c r="H94" s="61"/>
      <c r="I94" s="61"/>
    </row>
    <row r="95" spans="1:9">
      <c r="B95" s="28" t="s">
        <v>166</v>
      </c>
      <c r="C95" s="26" t="s">
        <v>163</v>
      </c>
      <c r="D95" s="63">
        <v>150</v>
      </c>
      <c r="E95" s="44" t="s">
        <v>11</v>
      </c>
      <c r="F95" s="10"/>
      <c r="G95" s="11"/>
      <c r="H95" s="61"/>
      <c r="I95" s="61"/>
    </row>
    <row r="96" spans="1:9">
      <c r="B96" s="28" t="s">
        <v>167</v>
      </c>
      <c r="C96" s="26" t="s">
        <v>164</v>
      </c>
      <c r="D96" s="63">
        <v>150</v>
      </c>
      <c r="E96" s="44" t="s">
        <v>11</v>
      </c>
      <c r="F96" s="10"/>
      <c r="G96" s="11"/>
      <c r="H96" s="61"/>
      <c r="I96" s="61"/>
    </row>
    <row r="97" spans="2:9">
      <c r="B97" s="28" t="s">
        <v>168</v>
      </c>
      <c r="C97" s="26" t="s">
        <v>165</v>
      </c>
      <c r="D97" s="63">
        <v>220</v>
      </c>
      <c r="E97" s="44" t="s">
        <v>11</v>
      </c>
      <c r="F97" s="10"/>
      <c r="G97" s="11"/>
      <c r="H97" s="61"/>
      <c r="I97" s="61"/>
    </row>
    <row r="98" spans="2:9">
      <c r="B98" s="28" t="s">
        <v>200</v>
      </c>
      <c r="C98" s="26" t="s">
        <v>210</v>
      </c>
      <c r="D98" s="3">
        <f>(F94*D97)/(F94+D97)</f>
        <v>55.932203389830505</v>
      </c>
      <c r="E98" s="44" t="s">
        <v>11</v>
      </c>
      <c r="F98" s="60"/>
      <c r="G98" s="61"/>
      <c r="H98" s="61"/>
      <c r="I98" s="61"/>
    </row>
    <row r="99" spans="2:9">
      <c r="B99" s="28" t="s">
        <v>172</v>
      </c>
      <c r="C99" s="26" t="s">
        <v>184</v>
      </c>
      <c r="D99" s="3">
        <f>((4/(D69*1000))/D98)*10^9</f>
        <v>1222.9090909090912</v>
      </c>
      <c r="E99" s="27" t="s">
        <v>26</v>
      </c>
      <c r="F99" s="60"/>
      <c r="G99" s="61"/>
      <c r="H99" s="61"/>
      <c r="I99" s="61"/>
    </row>
    <row r="100" spans="2:9">
      <c r="B100" s="20"/>
      <c r="C100" s="30"/>
      <c r="D100" s="38"/>
      <c r="E100" s="32"/>
      <c r="F100" s="60"/>
      <c r="G100" s="61"/>
      <c r="H100" s="61"/>
      <c r="I100" s="61"/>
    </row>
    <row r="101" spans="2:9">
      <c r="B101" s="67" t="s">
        <v>90</v>
      </c>
      <c r="C101" s="68"/>
      <c r="D101" s="68"/>
      <c r="E101" s="69"/>
    </row>
    <row r="102" spans="2:9">
      <c r="B102" s="28" t="s">
        <v>93</v>
      </c>
      <c r="C102" s="26" t="s">
        <v>70</v>
      </c>
      <c r="D102" s="45">
        <f>'L6599'!D5</f>
        <v>195</v>
      </c>
      <c r="E102" s="27" t="s">
        <v>1</v>
      </c>
    </row>
    <row r="103" spans="2:9">
      <c r="B103" s="28" t="s">
        <v>94</v>
      </c>
      <c r="C103" s="26" t="s">
        <v>71</v>
      </c>
      <c r="D103" s="66">
        <v>180</v>
      </c>
      <c r="E103" s="27" t="s">
        <v>1</v>
      </c>
    </row>
    <row r="104" spans="2:9">
      <c r="B104" s="28" t="s">
        <v>151</v>
      </c>
      <c r="C104" s="46" t="s">
        <v>152</v>
      </c>
      <c r="D104" s="3">
        <f>(((D102*1.4)-(D103*1.4))/(13*10^-6))/1000</f>
        <v>1615.3846153846175</v>
      </c>
      <c r="E104" s="27" t="s">
        <v>34</v>
      </c>
    </row>
    <row r="105" spans="2:9">
      <c r="B105" s="28" t="s">
        <v>157</v>
      </c>
      <c r="C105" s="26" t="s">
        <v>153</v>
      </c>
      <c r="D105" s="63">
        <v>1000</v>
      </c>
      <c r="E105" s="27" t="s">
        <v>34</v>
      </c>
    </row>
    <row r="106" spans="2:9">
      <c r="B106" s="28" t="s">
        <v>158</v>
      </c>
      <c r="C106" s="26" t="s">
        <v>154</v>
      </c>
      <c r="D106" s="63">
        <v>680</v>
      </c>
      <c r="E106" s="27" t="s">
        <v>34</v>
      </c>
    </row>
    <row r="107" spans="2:9">
      <c r="B107" s="28" t="s">
        <v>159</v>
      </c>
      <c r="C107" s="26" t="s">
        <v>155</v>
      </c>
      <c r="D107" s="29">
        <f>(1.24/((D103*1.4)-1.24))*(D105+D106)</f>
        <v>8.3075450630084564</v>
      </c>
      <c r="E107" s="27" t="s">
        <v>34</v>
      </c>
    </row>
    <row r="108" spans="2:9">
      <c r="B108" s="28" t="s">
        <v>160</v>
      </c>
      <c r="C108" s="26" t="s">
        <v>156</v>
      </c>
      <c r="D108" s="64">
        <v>8.1999999999999993</v>
      </c>
      <c r="E108" s="27" t="s">
        <v>34</v>
      </c>
    </row>
    <row r="109" spans="2:9">
      <c r="B109" s="28" t="s">
        <v>95</v>
      </c>
      <c r="C109" s="26" t="s">
        <v>72</v>
      </c>
      <c r="D109" s="3">
        <f>(((((D105+D106)*1000)*(13*10^-6)))/1.4)+D110</f>
        <v>197.94912891986064</v>
      </c>
      <c r="E109" s="27" t="s">
        <v>1</v>
      </c>
    </row>
    <row r="110" spans="2:9">
      <c r="B110" s="28" t="s">
        <v>96</v>
      </c>
      <c r="C110" s="26" t="s">
        <v>73</v>
      </c>
      <c r="D110" s="3">
        <f>(((((D105+D106)*1000)*1.24)/(D108*1000))+1.24)/1.4</f>
        <v>182.34912891986065</v>
      </c>
      <c r="E110" s="27" t="s">
        <v>1</v>
      </c>
      <c r="F110" s="10"/>
      <c r="G110" s="11"/>
      <c r="H110" s="11"/>
      <c r="I110" s="11"/>
    </row>
    <row r="111" spans="2:9">
      <c r="B111" s="20"/>
      <c r="C111" s="38"/>
      <c r="D111" s="38"/>
      <c r="E111" s="32"/>
      <c r="F111" s="10"/>
      <c r="G111" s="11"/>
      <c r="H111" s="11"/>
      <c r="I111" s="11"/>
    </row>
    <row r="112" spans="2:9">
      <c r="B112" s="73" t="s">
        <v>91</v>
      </c>
      <c r="C112" s="74"/>
      <c r="D112" s="74"/>
      <c r="E112" s="75"/>
      <c r="F112" s="10"/>
      <c r="G112" s="11"/>
      <c r="H112" s="11"/>
      <c r="I112" s="11"/>
    </row>
    <row r="113" spans="2:9">
      <c r="B113" s="28" t="s">
        <v>211</v>
      </c>
      <c r="C113" s="26" t="s">
        <v>131</v>
      </c>
      <c r="D113" s="66">
        <v>30</v>
      </c>
      <c r="E113" s="27" t="s">
        <v>1</v>
      </c>
      <c r="F113" s="10"/>
      <c r="G113" s="11"/>
      <c r="H113" s="11"/>
      <c r="I113" s="11"/>
    </row>
    <row r="114" spans="2:9">
      <c r="B114" s="28" t="s">
        <v>212</v>
      </c>
      <c r="C114" s="26" t="s">
        <v>213</v>
      </c>
      <c r="D114" s="45">
        <f>((D9^2)/0.1)/1000</f>
        <v>16</v>
      </c>
      <c r="E114" s="27" t="s">
        <v>34</v>
      </c>
      <c r="F114" s="10"/>
      <c r="G114" s="11"/>
      <c r="H114" s="11"/>
      <c r="I114" s="11"/>
    </row>
    <row r="115" spans="2:9">
      <c r="B115" s="28" t="s">
        <v>140</v>
      </c>
      <c r="C115" s="26" t="s">
        <v>69</v>
      </c>
      <c r="D115" s="66">
        <v>27</v>
      </c>
      <c r="E115" s="27" t="s">
        <v>34</v>
      </c>
      <c r="F115" s="12">
        <f>D9-(D113+0.65)</f>
        <v>9.3500000000000014</v>
      </c>
      <c r="G115" s="11" t="s">
        <v>139</v>
      </c>
      <c r="H115" s="11"/>
      <c r="I115" s="11"/>
    </row>
    <row r="116" spans="2:9">
      <c r="B116" s="28" t="s">
        <v>141</v>
      </c>
      <c r="C116" s="26" t="s">
        <v>132</v>
      </c>
      <c r="D116" s="1">
        <f>D115/((D113+0.65)/F115)</f>
        <v>8.2365415986949451</v>
      </c>
      <c r="E116" s="27" t="s">
        <v>34</v>
      </c>
      <c r="F116" s="10"/>
      <c r="G116" s="11"/>
      <c r="H116" s="11"/>
      <c r="I116" s="11"/>
    </row>
    <row r="117" spans="2:9">
      <c r="B117" s="28" t="s">
        <v>142</v>
      </c>
      <c r="C117" s="26" t="s">
        <v>143</v>
      </c>
      <c r="D117" s="64">
        <v>8.1999999999999993</v>
      </c>
      <c r="E117" s="27" t="s">
        <v>34</v>
      </c>
      <c r="F117" s="10"/>
      <c r="G117" s="11"/>
      <c r="H117" s="11"/>
      <c r="I117" s="11"/>
    </row>
    <row r="118" spans="2:9">
      <c r="B118" s="28" t="s">
        <v>135</v>
      </c>
      <c r="C118" s="26" t="s">
        <v>133</v>
      </c>
      <c r="D118" s="45">
        <f>(((D9+10)-D113-3)/0.01)/1000</f>
        <v>1.7</v>
      </c>
      <c r="E118" s="27" t="s">
        <v>34</v>
      </c>
      <c r="F118" s="10"/>
      <c r="G118" s="11"/>
      <c r="H118" s="11"/>
      <c r="I118" s="11"/>
    </row>
    <row r="119" spans="2:9">
      <c r="B119" s="28" t="s">
        <v>146</v>
      </c>
      <c r="C119" s="26" t="s">
        <v>145</v>
      </c>
      <c r="D119" s="1">
        <f>((D113+0.65)/(D115/D117))+(D113+0.65)</f>
        <v>39.958518518518517</v>
      </c>
      <c r="E119" s="27" t="s">
        <v>1</v>
      </c>
      <c r="F119" s="10"/>
      <c r="G119" s="11"/>
      <c r="H119" s="11"/>
      <c r="I119" s="11"/>
    </row>
    <row r="120" spans="2:9">
      <c r="B120" s="28" t="s">
        <v>183</v>
      </c>
      <c r="C120" s="26" t="s">
        <v>134</v>
      </c>
      <c r="D120" s="1">
        <f>((D119^2)/0.16)/1000</f>
        <v>9.9792700137174197</v>
      </c>
      <c r="E120" s="27" t="s">
        <v>34</v>
      </c>
      <c r="F120" s="10"/>
      <c r="G120" s="11"/>
      <c r="H120" s="11"/>
      <c r="I120" s="11"/>
    </row>
    <row r="121" spans="2:9">
      <c r="B121" s="56"/>
      <c r="C121" s="55"/>
      <c r="D121" s="55"/>
      <c r="E121" s="39"/>
      <c r="F121" s="60"/>
      <c r="G121" s="61"/>
    </row>
    <row r="122" spans="2:9" ht="15" customHeight="1" thickBot="1">
      <c r="B122" s="57" t="s">
        <v>201</v>
      </c>
      <c r="C122" s="58"/>
      <c r="D122" s="58"/>
      <c r="E122" s="59"/>
    </row>
    <row r="123" spans="2:9">
      <c r="B123" s="4"/>
      <c r="C123" s="4"/>
      <c r="D123" s="4"/>
      <c r="E123" s="4"/>
    </row>
    <row r="124" spans="2:9">
      <c r="B124" s="4"/>
      <c r="C124" s="4"/>
      <c r="D124" s="4"/>
      <c r="E124" s="4"/>
    </row>
    <row r="125" spans="2:9">
      <c r="B125" s="4"/>
      <c r="C125" s="4"/>
      <c r="D125" s="4"/>
      <c r="E125" s="4"/>
    </row>
    <row r="126" spans="2:9">
      <c r="B126" s="4"/>
      <c r="C126" s="4"/>
      <c r="D126" s="4"/>
      <c r="E126" s="4"/>
    </row>
    <row r="127" spans="2:9">
      <c r="B127" s="4"/>
      <c r="C127" s="4"/>
      <c r="D127" s="4"/>
      <c r="E127" s="4"/>
    </row>
    <row r="128" spans="2:9">
      <c r="B128" s="4"/>
      <c r="C128" s="4"/>
      <c r="D128" s="4"/>
      <c r="E128" s="4"/>
    </row>
    <row r="129" spans="2:5">
      <c r="B129" s="4"/>
      <c r="C129" s="4"/>
      <c r="D129" s="4"/>
      <c r="E129" s="4"/>
    </row>
    <row r="130" spans="2:5">
      <c r="B130" s="4"/>
      <c r="C130" s="4"/>
      <c r="D130" s="4"/>
      <c r="E130" s="4"/>
    </row>
    <row r="131" spans="2:5">
      <c r="B131" s="4"/>
      <c r="C131" s="4"/>
      <c r="D131" s="4"/>
      <c r="E131" s="4"/>
    </row>
    <row r="132" spans="2:5">
      <c r="B132" s="4"/>
      <c r="C132" s="4"/>
      <c r="D132" s="4"/>
      <c r="E132" s="4"/>
    </row>
    <row r="133" spans="2:5">
      <c r="B133" s="4"/>
      <c r="C133" s="4"/>
      <c r="D133" s="4"/>
      <c r="E133" s="4"/>
    </row>
    <row r="134" spans="2:5">
      <c r="B134" s="4"/>
      <c r="C134" s="4"/>
      <c r="D134" s="4"/>
      <c r="E134" s="4"/>
    </row>
    <row r="135" spans="2:5">
      <c r="B135" s="4"/>
      <c r="C135" s="4"/>
      <c r="D135" s="4"/>
      <c r="E135" s="4"/>
    </row>
    <row r="136" spans="2:5">
      <c r="B136" s="4"/>
      <c r="C136" s="4"/>
      <c r="D136" s="4"/>
      <c r="E136" s="4"/>
    </row>
    <row r="137" spans="2:5">
      <c r="B137" s="4"/>
      <c r="C137" s="4"/>
      <c r="D137" s="4"/>
      <c r="E137" s="4"/>
    </row>
    <row r="138" spans="2:5">
      <c r="B138" s="4"/>
      <c r="C138" s="4"/>
      <c r="D138" s="4"/>
      <c r="E138" s="4"/>
    </row>
    <row r="139" spans="2:5">
      <c r="B139" s="4"/>
      <c r="C139" s="4"/>
      <c r="D139" s="4"/>
      <c r="E139" s="4"/>
    </row>
    <row r="140" spans="2:5">
      <c r="B140" s="4"/>
      <c r="C140" s="4"/>
      <c r="D140" s="4"/>
      <c r="E140" s="4"/>
    </row>
    <row r="141" spans="2:5">
      <c r="B141" s="4"/>
      <c r="C141" s="4"/>
      <c r="D141" s="4"/>
      <c r="E141" s="4"/>
    </row>
    <row r="142" spans="2:5">
      <c r="B142" s="4"/>
      <c r="C142" s="4"/>
      <c r="D142" s="4"/>
      <c r="E142" s="4"/>
    </row>
    <row r="143" spans="2:5">
      <c r="B143" s="4"/>
      <c r="C143" s="4"/>
      <c r="D143" s="4"/>
      <c r="E143" s="4"/>
    </row>
    <row r="144" spans="2:5">
      <c r="B144" s="4"/>
      <c r="C144" s="4"/>
      <c r="D144" s="4"/>
      <c r="E144" s="4"/>
    </row>
    <row r="145" spans="2:5">
      <c r="B145" s="4"/>
      <c r="C145" s="4"/>
      <c r="D145" s="4"/>
      <c r="E145" s="4"/>
    </row>
    <row r="146" spans="2:5">
      <c r="B146" s="4"/>
      <c r="C146" s="4"/>
      <c r="D146" s="4"/>
      <c r="E146" s="4"/>
    </row>
    <row r="147" spans="2:5">
      <c r="B147" s="4"/>
      <c r="C147" s="4"/>
      <c r="D147" s="4"/>
      <c r="E147" s="4"/>
    </row>
    <row r="148" spans="2:5">
      <c r="B148" s="4"/>
      <c r="C148" s="4"/>
      <c r="D148" s="4"/>
      <c r="E148" s="4"/>
    </row>
    <row r="149" spans="2:5">
      <c r="B149" s="4"/>
      <c r="C149" s="4"/>
      <c r="D149" s="4"/>
      <c r="E149" s="4"/>
    </row>
    <row r="150" spans="2:5">
      <c r="B150" s="4"/>
      <c r="C150" s="4"/>
      <c r="D150" s="4"/>
      <c r="E150" s="4"/>
    </row>
    <row r="151" spans="2:5">
      <c r="B151" s="4"/>
      <c r="C151" s="4"/>
      <c r="D151" s="4"/>
      <c r="E151" s="4"/>
    </row>
    <row r="152" spans="2:5">
      <c r="B152" s="6"/>
      <c r="C152" s="8"/>
      <c r="D152" s="9"/>
      <c r="E152" s="6"/>
    </row>
    <row r="153" spans="2:5">
      <c r="B153" s="6"/>
      <c r="C153" s="8"/>
      <c r="D153" s="9"/>
      <c r="E153" s="6"/>
    </row>
    <row r="154" spans="2:5">
      <c r="B154" s="6"/>
      <c r="C154" s="8"/>
      <c r="D154" s="9"/>
      <c r="E154" s="6"/>
    </row>
    <row r="155" spans="2:5">
      <c r="B155" s="6"/>
      <c r="C155" s="8"/>
      <c r="D155" s="9"/>
      <c r="E155" s="6"/>
    </row>
    <row r="156" spans="2:5">
      <c r="B156" s="6"/>
      <c r="C156" s="8"/>
      <c r="D156" s="9"/>
      <c r="E156" s="6"/>
    </row>
    <row r="157" spans="2:5">
      <c r="B157" s="6"/>
      <c r="C157" s="8"/>
      <c r="D157" s="9"/>
      <c r="E157" s="6"/>
    </row>
    <row r="158" spans="2:5">
      <c r="B158" s="6"/>
      <c r="C158" s="8"/>
      <c r="D158" s="9"/>
      <c r="E158" s="6"/>
    </row>
    <row r="159" spans="2:5">
      <c r="B159" s="6"/>
      <c r="C159" s="8"/>
      <c r="D159" s="9"/>
      <c r="E159" s="6"/>
    </row>
    <row r="160" spans="2:5">
      <c r="B160" s="6"/>
      <c r="C160" s="8"/>
      <c r="D160" s="9"/>
      <c r="E160" s="6"/>
    </row>
    <row r="161" spans="2:5">
      <c r="B161" s="6"/>
      <c r="C161" s="8"/>
      <c r="D161" s="9"/>
      <c r="E161" s="6"/>
    </row>
    <row r="162" spans="2:5">
      <c r="B162" s="6"/>
      <c r="C162" s="8"/>
      <c r="D162" s="9"/>
      <c r="E162" s="6"/>
    </row>
    <row r="163" spans="2:5">
      <c r="B163" s="6"/>
      <c r="C163" s="8"/>
      <c r="D163" s="9"/>
      <c r="E163" s="6"/>
    </row>
    <row r="164" spans="2:5">
      <c r="B164" s="14"/>
      <c r="C164" s="8"/>
      <c r="D164" s="15"/>
      <c r="E164" s="14"/>
    </row>
    <row r="165" spans="2:5">
      <c r="B165" s="14"/>
      <c r="C165" s="8"/>
      <c r="D165" s="15"/>
      <c r="E165" s="14"/>
    </row>
    <row r="166" spans="2:5">
      <c r="B166" s="4"/>
      <c r="C166" s="4"/>
      <c r="D166" s="16"/>
      <c r="E166" s="4"/>
    </row>
    <row r="167" spans="2:5">
      <c r="B167" s="4"/>
      <c r="C167" s="4"/>
      <c r="D167" s="4"/>
      <c r="E167" s="4"/>
    </row>
    <row r="168" spans="2:5">
      <c r="B168" s="4"/>
      <c r="C168" s="4"/>
      <c r="D168" s="4"/>
      <c r="E168" s="4"/>
    </row>
    <row r="169" spans="2:5">
      <c r="B169" s="4"/>
      <c r="C169" s="4"/>
      <c r="D169" s="4"/>
      <c r="E169" s="4"/>
    </row>
    <row r="170" spans="2:5">
      <c r="B170" s="4"/>
      <c r="C170" s="4"/>
      <c r="D170" s="4"/>
      <c r="E170" s="4"/>
    </row>
    <row r="171" spans="2:5">
      <c r="B171" s="4"/>
      <c r="C171" s="4"/>
      <c r="D171" s="4"/>
      <c r="E171" s="4"/>
    </row>
    <row r="172" spans="2:5">
      <c r="B172" s="4"/>
      <c r="C172" s="4"/>
      <c r="D172" s="4"/>
      <c r="E172" s="4"/>
    </row>
    <row r="173" spans="2:5">
      <c r="B173" s="4"/>
      <c r="C173" s="4"/>
      <c r="D173" s="4"/>
      <c r="E173" s="4"/>
    </row>
    <row r="174" spans="2:5">
      <c r="B174" s="4"/>
      <c r="C174" s="4"/>
      <c r="D174" s="4"/>
      <c r="E174" s="4"/>
    </row>
    <row r="175" spans="2:5">
      <c r="B175" s="4"/>
      <c r="C175" s="4"/>
      <c r="D175" s="4"/>
      <c r="E175" s="4"/>
    </row>
    <row r="176" spans="2:5">
      <c r="B176" s="4"/>
      <c r="C176" s="4"/>
      <c r="D176" s="4"/>
      <c r="E176" s="4"/>
    </row>
    <row r="177" spans="2:5">
      <c r="B177" s="4"/>
      <c r="C177" s="4"/>
      <c r="D177" s="4"/>
      <c r="E177" s="4"/>
    </row>
    <row r="178" spans="2:5">
      <c r="B178" s="4"/>
      <c r="C178" s="4"/>
      <c r="D178" s="4"/>
      <c r="E178" s="4"/>
    </row>
    <row r="179" spans="2:5">
      <c r="B179" s="4"/>
      <c r="C179" s="4"/>
      <c r="D179" s="4"/>
      <c r="E179" s="4"/>
    </row>
    <row r="180" spans="2:5">
      <c r="B180" s="4"/>
      <c r="C180" s="4"/>
      <c r="D180" s="4"/>
      <c r="E180" s="4"/>
    </row>
    <row r="181" spans="2:5">
      <c r="B181" s="4"/>
      <c r="C181" s="4"/>
      <c r="D181" s="4"/>
      <c r="E181" s="4"/>
    </row>
    <row r="182" spans="2:5">
      <c r="B182" s="4"/>
      <c r="C182" s="4"/>
      <c r="D182" s="4"/>
      <c r="E182" s="4"/>
    </row>
    <row r="183" spans="2:5">
      <c r="B183" s="4"/>
      <c r="C183" s="4"/>
      <c r="D183" s="4"/>
      <c r="E183" s="4"/>
    </row>
    <row r="184" spans="2:5">
      <c r="B184" s="4"/>
      <c r="C184" s="4"/>
      <c r="D184" s="4"/>
      <c r="E184" s="4"/>
    </row>
    <row r="185" spans="2:5">
      <c r="B185" s="4"/>
      <c r="C185" s="4"/>
      <c r="D185" s="4"/>
      <c r="E185" s="4"/>
    </row>
    <row r="186" spans="2:5">
      <c r="B186" s="4"/>
      <c r="C186" s="4"/>
      <c r="D186" s="4"/>
      <c r="E186" s="4"/>
    </row>
    <row r="187" spans="2:5">
      <c r="B187" s="4"/>
      <c r="C187" s="4"/>
      <c r="D187" s="4"/>
      <c r="E187" s="4"/>
    </row>
    <row r="188" spans="2:5">
      <c r="B188" s="4"/>
      <c r="C188" s="4"/>
      <c r="D188" s="4"/>
      <c r="E188" s="4"/>
    </row>
    <row r="189" spans="2:5">
      <c r="B189" s="4"/>
      <c r="C189" s="4"/>
      <c r="D189" s="4"/>
      <c r="E189" s="4"/>
    </row>
    <row r="190" spans="2:5">
      <c r="B190" s="4"/>
      <c r="C190" s="4"/>
      <c r="D190" s="4"/>
      <c r="E190" s="4"/>
    </row>
    <row r="191" spans="2:5">
      <c r="B191" s="4"/>
      <c r="C191" s="4"/>
      <c r="D191" s="4"/>
      <c r="E191" s="4"/>
    </row>
    <row r="192" spans="2:5">
      <c r="B192" s="4"/>
      <c r="C192" s="4"/>
      <c r="D192" s="4"/>
      <c r="E192" s="4"/>
    </row>
    <row r="193" spans="2:5">
      <c r="B193" s="4"/>
      <c r="C193" s="4"/>
      <c r="D193" s="4"/>
      <c r="E193" s="4"/>
    </row>
    <row r="194" spans="2:5">
      <c r="B194" s="4"/>
      <c r="C194" s="4"/>
      <c r="D194" s="4"/>
      <c r="E194" s="4"/>
    </row>
    <row r="195" spans="2:5">
      <c r="B195" s="4"/>
      <c r="C195" s="4"/>
      <c r="D195" s="4"/>
      <c r="E195" s="4"/>
    </row>
    <row r="196" spans="2:5">
      <c r="B196" s="4"/>
      <c r="C196" s="4"/>
      <c r="D196" s="4"/>
      <c r="E196" s="4"/>
    </row>
    <row r="197" spans="2:5">
      <c r="B197" s="4"/>
      <c r="C197" s="4"/>
      <c r="D197" s="4"/>
      <c r="E197" s="4"/>
    </row>
    <row r="198" spans="2:5">
      <c r="B198" s="4"/>
      <c r="C198" s="4"/>
      <c r="D198" s="4"/>
      <c r="E198" s="4"/>
    </row>
    <row r="199" spans="2:5">
      <c r="B199" s="4"/>
      <c r="C199" s="4"/>
      <c r="D199" s="4"/>
      <c r="E199" s="4"/>
    </row>
    <row r="200" spans="2:5">
      <c r="B200" s="4"/>
      <c r="C200" s="4"/>
      <c r="D200" s="4"/>
      <c r="E200" s="4"/>
    </row>
    <row r="201" spans="2:5">
      <c r="B201" s="4"/>
      <c r="C201" s="4"/>
      <c r="D201" s="4"/>
      <c r="E201" s="4"/>
    </row>
    <row r="202" spans="2:5">
      <c r="B202" s="4"/>
      <c r="C202" s="4"/>
      <c r="D202" s="4"/>
      <c r="E202" s="4"/>
    </row>
    <row r="203" spans="2:5">
      <c r="B203" s="4"/>
      <c r="C203" s="4"/>
      <c r="D203" s="4"/>
      <c r="E203" s="4"/>
    </row>
    <row r="204" spans="2:5">
      <c r="B204" s="4"/>
      <c r="C204" s="4"/>
      <c r="D204" s="4"/>
      <c r="E204" s="4"/>
    </row>
    <row r="205" spans="2:5">
      <c r="B205" s="4"/>
      <c r="C205" s="4"/>
      <c r="D205" s="4"/>
      <c r="E205" s="4"/>
    </row>
    <row r="206" spans="2:5">
      <c r="B206" s="4"/>
      <c r="C206" s="4"/>
      <c r="D206" s="4"/>
      <c r="E206" s="4"/>
    </row>
    <row r="207" spans="2:5">
      <c r="B207" s="4"/>
      <c r="C207" s="4"/>
      <c r="D207" s="4"/>
      <c r="E207" s="4"/>
    </row>
    <row r="208" spans="2:5">
      <c r="B208" s="4"/>
      <c r="C208" s="4"/>
      <c r="D208" s="4"/>
      <c r="E208" s="4"/>
    </row>
    <row r="209" spans="2:5">
      <c r="B209" s="4"/>
      <c r="C209" s="4"/>
      <c r="D209" s="4"/>
      <c r="E209" s="4"/>
    </row>
    <row r="210" spans="2:5">
      <c r="B210" s="4"/>
      <c r="C210" s="4"/>
      <c r="D210" s="4"/>
      <c r="E210" s="4"/>
    </row>
    <row r="211" spans="2:5">
      <c r="B211" s="4"/>
      <c r="C211" s="4"/>
      <c r="D211" s="4"/>
      <c r="E211" s="4"/>
    </row>
    <row r="212" spans="2:5">
      <c r="B212" s="4"/>
      <c r="C212" s="4"/>
      <c r="D212" s="4"/>
      <c r="E212" s="4"/>
    </row>
    <row r="213" spans="2:5">
      <c r="B213" s="4"/>
      <c r="C213" s="4"/>
      <c r="D213" s="4"/>
      <c r="E213" s="4"/>
    </row>
    <row r="214" spans="2:5">
      <c r="B214" s="4"/>
      <c r="C214" s="4"/>
      <c r="D214" s="4"/>
      <c r="E214" s="4"/>
    </row>
    <row r="215" spans="2:5">
      <c r="B215" s="4"/>
      <c r="C215" s="4"/>
      <c r="D215" s="4"/>
      <c r="E215" s="4"/>
    </row>
    <row r="216" spans="2:5">
      <c r="B216" s="4"/>
      <c r="C216" s="4"/>
      <c r="D216" s="4"/>
      <c r="E216" s="4"/>
    </row>
    <row r="217" spans="2:5">
      <c r="B217" s="4"/>
      <c r="C217" s="4"/>
      <c r="D217" s="4"/>
      <c r="E217" s="4"/>
    </row>
    <row r="218" spans="2:5">
      <c r="B218" s="4"/>
      <c r="C218" s="4"/>
      <c r="D218" s="4"/>
      <c r="E218" s="4"/>
    </row>
    <row r="219" spans="2:5">
      <c r="B219" s="4"/>
      <c r="C219" s="4"/>
      <c r="D219" s="4"/>
      <c r="E219" s="4"/>
    </row>
    <row r="220" spans="2:5">
      <c r="B220" s="4"/>
      <c r="C220" s="4"/>
      <c r="D220" s="4"/>
      <c r="E220" s="4"/>
    </row>
    <row r="221" spans="2:5">
      <c r="B221" s="4"/>
      <c r="C221" s="4"/>
      <c r="D221" s="4"/>
      <c r="E221" s="4"/>
    </row>
    <row r="222" spans="2:5">
      <c r="B222" s="4"/>
      <c r="C222" s="4"/>
      <c r="D222" s="4"/>
      <c r="E222" s="4"/>
    </row>
    <row r="223" spans="2:5">
      <c r="B223" s="4"/>
      <c r="C223" s="4"/>
      <c r="D223" s="4"/>
      <c r="E223" s="4"/>
    </row>
    <row r="224" spans="2:5">
      <c r="B224" s="4"/>
      <c r="C224" s="4"/>
      <c r="D224" s="4"/>
      <c r="E224" s="4"/>
    </row>
    <row r="225" spans="2:5">
      <c r="B225" s="4"/>
      <c r="C225" s="4"/>
      <c r="D225" s="4"/>
      <c r="E225" s="4"/>
    </row>
    <row r="226" spans="2:5">
      <c r="B226" s="4"/>
      <c r="C226" s="4"/>
      <c r="D226" s="4"/>
      <c r="E226" s="4"/>
    </row>
    <row r="227" spans="2:5">
      <c r="B227" s="4"/>
      <c r="C227" s="4"/>
      <c r="D227" s="4"/>
      <c r="E227" s="4"/>
    </row>
    <row r="228" spans="2:5">
      <c r="B228" s="4"/>
      <c r="C228" s="4"/>
      <c r="D228" s="4"/>
      <c r="E228" s="4"/>
    </row>
    <row r="229" spans="2:5">
      <c r="B229" s="4"/>
      <c r="C229" s="4"/>
      <c r="D229" s="4"/>
      <c r="E229" s="4"/>
    </row>
    <row r="230" spans="2:5">
      <c r="B230" s="4"/>
      <c r="C230" s="4"/>
      <c r="D230" s="4"/>
      <c r="E230" s="4"/>
    </row>
    <row r="231" spans="2:5">
      <c r="B231" s="4"/>
      <c r="C231" s="4"/>
      <c r="D231" s="4"/>
      <c r="E231" s="4"/>
    </row>
    <row r="232" spans="2:5">
      <c r="B232" s="4"/>
      <c r="C232" s="4"/>
      <c r="D232" s="4"/>
      <c r="E232" s="4"/>
    </row>
    <row r="233" spans="2:5">
      <c r="B233" s="4"/>
      <c r="C233" s="4"/>
      <c r="D233" s="4"/>
      <c r="E233" s="4"/>
    </row>
    <row r="234" spans="2:5">
      <c r="B234" s="4"/>
      <c r="C234" s="4"/>
      <c r="D234" s="4"/>
      <c r="E234" s="4"/>
    </row>
    <row r="235" spans="2:5">
      <c r="B235" s="4"/>
      <c r="C235" s="4"/>
      <c r="D235" s="4"/>
      <c r="E235" s="4"/>
    </row>
    <row r="236" spans="2:5">
      <c r="B236" s="4"/>
      <c r="C236" s="4"/>
      <c r="D236" s="4"/>
      <c r="E236" s="4"/>
    </row>
    <row r="237" spans="2:5">
      <c r="B237" s="4"/>
      <c r="C237" s="4"/>
      <c r="D237" s="4"/>
      <c r="E237" s="4"/>
    </row>
    <row r="238" spans="2:5">
      <c r="B238" s="4"/>
      <c r="C238" s="4"/>
      <c r="D238" s="4"/>
      <c r="E238" s="4"/>
    </row>
    <row r="239" spans="2:5">
      <c r="B239" s="4"/>
      <c r="C239" s="4"/>
      <c r="D239" s="4"/>
      <c r="E239" s="4"/>
    </row>
    <row r="240" spans="2:5">
      <c r="B240" s="4"/>
      <c r="C240" s="4"/>
      <c r="D240" s="4"/>
      <c r="E240" s="4"/>
    </row>
    <row r="241" spans="2:5">
      <c r="B241" s="4"/>
      <c r="C241" s="4"/>
      <c r="D241" s="4"/>
      <c r="E241" s="4"/>
    </row>
    <row r="242" spans="2:5">
      <c r="B242" s="4"/>
      <c r="C242" s="4"/>
      <c r="D242" s="4"/>
      <c r="E242" s="4"/>
    </row>
    <row r="243" spans="2:5">
      <c r="B243" s="4"/>
      <c r="C243" s="4"/>
      <c r="D243" s="4"/>
      <c r="E243" s="4"/>
    </row>
    <row r="244" spans="2:5">
      <c r="B244" s="4"/>
      <c r="C244" s="4"/>
      <c r="D244" s="4"/>
      <c r="E244" s="4"/>
    </row>
    <row r="245" spans="2:5">
      <c r="B245" s="4"/>
      <c r="C245" s="4"/>
      <c r="D245" s="4"/>
      <c r="E245" s="4"/>
    </row>
    <row r="246" spans="2:5">
      <c r="B246" s="4"/>
      <c r="C246" s="4"/>
      <c r="D246" s="4"/>
      <c r="E246" s="4"/>
    </row>
    <row r="247" spans="2:5">
      <c r="B247" s="4"/>
      <c r="C247" s="4"/>
      <c r="D247" s="4"/>
      <c r="E247" s="4"/>
    </row>
    <row r="248" spans="2:5">
      <c r="B248" s="4"/>
      <c r="C248" s="4"/>
      <c r="D248" s="4"/>
      <c r="E248" s="4"/>
    </row>
    <row r="249" spans="2:5">
      <c r="B249" s="4"/>
      <c r="C249" s="4"/>
      <c r="D249" s="4"/>
      <c r="E249" s="4"/>
    </row>
    <row r="250" spans="2:5">
      <c r="B250" s="4"/>
      <c r="C250" s="4"/>
      <c r="D250" s="4"/>
      <c r="E250" s="4"/>
    </row>
    <row r="251" spans="2:5">
      <c r="B251" s="4"/>
      <c r="C251" s="4"/>
      <c r="D251" s="4"/>
      <c r="E251" s="4"/>
    </row>
    <row r="252" spans="2:5">
      <c r="B252" s="4"/>
      <c r="C252" s="4"/>
      <c r="D252" s="4"/>
      <c r="E252" s="4"/>
    </row>
    <row r="253" spans="2:5">
      <c r="B253" s="4"/>
      <c r="C253" s="4"/>
      <c r="D253" s="4"/>
      <c r="E253" s="4"/>
    </row>
    <row r="254" spans="2:5">
      <c r="B254" s="4"/>
      <c r="C254" s="4"/>
      <c r="D254" s="4"/>
      <c r="E254" s="4"/>
    </row>
    <row r="255" spans="2:5">
      <c r="B255" s="4"/>
      <c r="C255" s="4"/>
      <c r="D255" s="4"/>
      <c r="E255" s="4"/>
    </row>
    <row r="256" spans="2:5">
      <c r="B256" s="4"/>
      <c r="C256" s="4"/>
      <c r="D256" s="4"/>
      <c r="E256" s="4"/>
    </row>
    <row r="257" spans="2:5">
      <c r="B257" s="4"/>
      <c r="C257" s="4"/>
      <c r="D257" s="4"/>
      <c r="E257" s="4"/>
    </row>
    <row r="258" spans="2:5">
      <c r="B258" s="4"/>
      <c r="C258" s="4"/>
      <c r="D258" s="4"/>
      <c r="E258" s="4"/>
    </row>
    <row r="259" spans="2:5">
      <c r="B259" s="4"/>
      <c r="C259" s="4"/>
      <c r="D259" s="4"/>
      <c r="E259" s="4"/>
    </row>
    <row r="260" spans="2:5">
      <c r="B260" s="4"/>
      <c r="C260" s="4"/>
      <c r="D260" s="4"/>
      <c r="E260" s="4"/>
    </row>
    <row r="261" spans="2:5">
      <c r="B261" s="4"/>
      <c r="C261" s="4"/>
      <c r="D261" s="4"/>
      <c r="E261" s="4"/>
    </row>
    <row r="262" spans="2:5">
      <c r="B262" s="4"/>
      <c r="C262" s="4"/>
      <c r="D262" s="4"/>
      <c r="E262" s="4"/>
    </row>
    <row r="263" spans="2:5">
      <c r="B263" s="4"/>
      <c r="C263" s="4"/>
      <c r="D263" s="4"/>
      <c r="E263" s="4"/>
    </row>
    <row r="264" spans="2:5">
      <c r="B264" s="4"/>
      <c r="C264" s="4"/>
      <c r="D264" s="4"/>
      <c r="E264" s="4"/>
    </row>
    <row r="265" spans="2:5">
      <c r="B265" s="4"/>
      <c r="C265" s="4"/>
      <c r="D265" s="4"/>
      <c r="E265" s="4"/>
    </row>
    <row r="266" spans="2:5">
      <c r="B266" s="4"/>
      <c r="C266" s="4"/>
      <c r="D266" s="4"/>
      <c r="E266" s="4"/>
    </row>
    <row r="267" spans="2:5">
      <c r="B267" s="4"/>
      <c r="C267" s="4"/>
      <c r="D267" s="4"/>
      <c r="E267" s="4"/>
    </row>
    <row r="268" spans="2:5">
      <c r="B268" s="4"/>
      <c r="C268" s="4"/>
      <c r="D268" s="4"/>
      <c r="E268" s="4"/>
    </row>
    <row r="269" spans="2:5">
      <c r="B269" s="4"/>
      <c r="C269" s="4"/>
      <c r="D269" s="4"/>
      <c r="E269" s="4"/>
    </row>
    <row r="270" spans="2:5">
      <c r="B270" s="4"/>
      <c r="C270" s="4"/>
      <c r="D270" s="4"/>
      <c r="E270" s="4"/>
    </row>
    <row r="271" spans="2:5">
      <c r="B271" s="4"/>
      <c r="C271" s="4"/>
      <c r="D271" s="4"/>
      <c r="E271" s="4"/>
    </row>
    <row r="272" spans="2:5">
      <c r="B272" s="4"/>
      <c r="C272" s="4"/>
      <c r="D272" s="4"/>
      <c r="E272" s="4"/>
    </row>
    <row r="273" spans="2:5">
      <c r="B273" s="4"/>
      <c r="C273" s="4"/>
      <c r="D273" s="4"/>
      <c r="E273" s="4"/>
    </row>
    <row r="274" spans="2:5">
      <c r="B274" s="4"/>
      <c r="C274" s="4"/>
      <c r="D274" s="4"/>
      <c r="E274" s="4"/>
    </row>
    <row r="275" spans="2:5">
      <c r="B275" s="4"/>
      <c r="C275" s="4"/>
      <c r="D275" s="4"/>
      <c r="E275" s="4"/>
    </row>
    <row r="276" spans="2:5">
      <c r="B276" s="4"/>
      <c r="C276" s="4"/>
      <c r="D276" s="4"/>
      <c r="E276" s="4"/>
    </row>
    <row r="277" spans="2:5">
      <c r="B277" s="4"/>
      <c r="C277" s="4"/>
      <c r="D277" s="4"/>
      <c r="E277" s="4"/>
    </row>
    <row r="278" spans="2:5">
      <c r="B278" s="4"/>
      <c r="C278" s="4"/>
      <c r="D278" s="4"/>
      <c r="E278" s="4"/>
    </row>
    <row r="279" spans="2:5">
      <c r="B279" s="4"/>
      <c r="C279" s="4"/>
      <c r="D279" s="4"/>
      <c r="E279" s="4"/>
    </row>
    <row r="280" spans="2:5">
      <c r="B280" s="4"/>
      <c r="C280" s="4"/>
      <c r="D280" s="4"/>
      <c r="E280" s="4"/>
    </row>
    <row r="281" spans="2:5">
      <c r="B281" s="4"/>
      <c r="C281" s="4"/>
      <c r="D281" s="4"/>
      <c r="E281" s="4"/>
    </row>
    <row r="282" spans="2:5">
      <c r="B282" s="4"/>
      <c r="C282" s="4"/>
      <c r="D282" s="4"/>
      <c r="E282" s="4"/>
    </row>
    <row r="283" spans="2:5">
      <c r="B283" s="4"/>
      <c r="C283" s="4"/>
      <c r="D283" s="4"/>
      <c r="E283" s="4"/>
    </row>
    <row r="284" spans="2:5">
      <c r="B284" s="4"/>
      <c r="C284" s="4"/>
      <c r="D284" s="4"/>
      <c r="E284" s="4"/>
    </row>
    <row r="285" spans="2:5">
      <c r="B285" s="4"/>
      <c r="C285" s="4"/>
      <c r="D285" s="4"/>
      <c r="E285" s="4"/>
    </row>
    <row r="286" spans="2:5">
      <c r="B286" s="4"/>
      <c r="C286" s="4"/>
      <c r="D286" s="4"/>
      <c r="E286" s="4"/>
    </row>
    <row r="287" spans="2:5">
      <c r="B287" s="4"/>
      <c r="C287" s="4"/>
      <c r="D287" s="4"/>
      <c r="E287" s="4"/>
    </row>
    <row r="288" spans="2:5">
      <c r="B288" s="4"/>
      <c r="C288" s="4"/>
      <c r="D288" s="4"/>
      <c r="E288" s="4"/>
    </row>
    <row r="289" spans="2:24">
      <c r="B289" s="4"/>
      <c r="C289" s="4"/>
      <c r="D289" s="4"/>
      <c r="E289" s="4"/>
    </row>
    <row r="290" spans="2:24">
      <c r="B290" s="4"/>
      <c r="C290" s="4"/>
      <c r="D290" s="4"/>
      <c r="E290" s="4"/>
    </row>
    <row r="291" spans="2:24">
      <c r="B291" s="4"/>
      <c r="C291" s="4"/>
      <c r="D291" s="4"/>
      <c r="E291" s="4"/>
    </row>
    <row r="292" spans="2:24">
      <c r="B292" s="4"/>
      <c r="C292" s="4"/>
      <c r="D292" s="4"/>
      <c r="E292" s="4"/>
    </row>
    <row r="293" spans="2:24">
      <c r="B293" s="4"/>
      <c r="C293" s="4"/>
      <c r="D293" s="4"/>
      <c r="E293" s="4"/>
    </row>
    <row r="294" spans="2:24">
      <c r="B294" s="4"/>
      <c r="C294" s="4"/>
      <c r="D294" s="4"/>
      <c r="E294" s="4"/>
    </row>
    <row r="295" spans="2:24">
      <c r="B295" s="4"/>
      <c r="C295" s="4"/>
      <c r="D295" s="4"/>
      <c r="E295" s="4"/>
    </row>
    <row r="296" spans="2:24">
      <c r="B296" s="4"/>
      <c r="C296" s="4"/>
      <c r="D296" s="4"/>
      <c r="E296" s="4"/>
    </row>
    <row r="297" spans="2:24">
      <c r="B297" s="4"/>
      <c r="C297" s="4"/>
      <c r="D297" s="4"/>
      <c r="E297" s="4"/>
    </row>
    <row r="298" spans="2:24">
      <c r="B298" s="4"/>
      <c r="C298" s="4"/>
      <c r="D298" s="4"/>
      <c r="E298" s="4"/>
      <c r="W298" s="17" t="e">
        <f>(1/(2*(D32*1000)*(#REF!*10^-9)))-1</f>
        <v>#REF!</v>
      </c>
      <c r="X298" s="18">
        <v>1</v>
      </c>
    </row>
    <row r="299" spans="2:24">
      <c r="B299" s="4"/>
      <c r="C299" s="4"/>
      <c r="D299" s="4"/>
      <c r="E299" s="4"/>
      <c r="W299" s="17" t="e">
        <f>(1/(2*(D31*1000)*(#REF!*10^-9)))-1</f>
        <v>#REF!</v>
      </c>
      <c r="X299" s="18">
        <v>1.5</v>
      </c>
    </row>
    <row r="300" spans="2:24">
      <c r="B300" s="4"/>
      <c r="C300" s="4"/>
      <c r="D300" s="4"/>
      <c r="E300" s="4"/>
      <c r="X300" s="18">
        <v>2</v>
      </c>
    </row>
    <row r="301" spans="2:24">
      <c r="B301" s="6"/>
      <c r="C301" s="8"/>
      <c r="D301" s="9"/>
      <c r="E301" s="6"/>
      <c r="X301" s="18">
        <v>2.2000000000000002</v>
      </c>
    </row>
    <row r="302" spans="2:24">
      <c r="B302" s="6"/>
      <c r="C302" s="8"/>
      <c r="D302" s="9"/>
      <c r="E302" s="6"/>
      <c r="X302" s="18">
        <v>2.4</v>
      </c>
    </row>
    <row r="303" spans="2:24">
      <c r="B303" s="6"/>
      <c r="C303" s="8"/>
      <c r="D303" s="9"/>
      <c r="E303" s="6"/>
      <c r="X303" s="18">
        <v>2.7</v>
      </c>
    </row>
    <row r="304" spans="2:24">
      <c r="B304" s="6"/>
      <c r="C304" s="8"/>
      <c r="D304" s="9"/>
      <c r="E304" s="6"/>
      <c r="X304" s="18">
        <v>3</v>
      </c>
    </row>
    <row r="305" spans="2:24">
      <c r="B305" s="6"/>
      <c r="C305" s="8"/>
      <c r="D305" s="9"/>
      <c r="E305" s="6"/>
      <c r="X305" s="18">
        <v>3.3</v>
      </c>
    </row>
    <row r="306" spans="2:24">
      <c r="B306" s="6"/>
      <c r="C306" s="8"/>
      <c r="D306" s="9"/>
      <c r="E306" s="6"/>
      <c r="X306" s="18">
        <v>3.6</v>
      </c>
    </row>
    <row r="307" spans="2:24">
      <c r="B307" s="6"/>
      <c r="C307" s="8"/>
      <c r="D307" s="9"/>
      <c r="E307" s="6"/>
      <c r="X307" s="18">
        <v>3.9</v>
      </c>
    </row>
    <row r="308" spans="2:24">
      <c r="B308" s="6"/>
      <c r="C308" s="8"/>
      <c r="D308" s="9"/>
      <c r="E308" s="6"/>
      <c r="X308" s="18">
        <v>4.3</v>
      </c>
    </row>
    <row r="309" spans="2:24">
      <c r="B309" s="6"/>
      <c r="C309" s="8"/>
      <c r="D309" s="9"/>
      <c r="E309" s="6"/>
      <c r="X309" s="18">
        <v>4.7</v>
      </c>
    </row>
    <row r="310" spans="2:24">
      <c r="B310" s="6"/>
      <c r="C310" s="8"/>
      <c r="D310" s="9"/>
      <c r="E310" s="6"/>
      <c r="X310" s="18">
        <v>5.0999999999999996</v>
      </c>
    </row>
    <row r="311" spans="2:24">
      <c r="B311" s="6"/>
      <c r="C311" s="8"/>
      <c r="D311" s="9"/>
      <c r="E311" s="6"/>
      <c r="X311" s="18">
        <v>5.6</v>
      </c>
    </row>
    <row r="312" spans="2:24">
      <c r="B312" s="6"/>
      <c r="C312" s="8"/>
      <c r="D312" s="9"/>
      <c r="E312" s="6"/>
      <c r="X312" s="18">
        <v>6.2</v>
      </c>
    </row>
    <row r="313" spans="2:24">
      <c r="B313" s="6"/>
      <c r="C313" s="8"/>
      <c r="D313" s="9"/>
      <c r="E313" s="6"/>
      <c r="X313" s="18">
        <v>6.8</v>
      </c>
    </row>
    <row r="314" spans="2:24">
      <c r="B314" s="6"/>
      <c r="C314" s="8"/>
      <c r="D314" s="9"/>
      <c r="E314" s="6"/>
      <c r="X314" s="18">
        <v>7.5</v>
      </c>
    </row>
    <row r="315" spans="2:24">
      <c r="B315" s="6"/>
      <c r="C315" s="8"/>
      <c r="D315" s="9"/>
      <c r="E315" s="6"/>
      <c r="X315" s="18">
        <v>8.1999999999999993</v>
      </c>
    </row>
    <row r="316" spans="2:24">
      <c r="B316" s="6"/>
      <c r="C316" s="8"/>
      <c r="D316" s="9"/>
      <c r="E316" s="6"/>
      <c r="X316" s="18">
        <v>9.1</v>
      </c>
    </row>
    <row r="317" spans="2:24">
      <c r="B317" s="6"/>
      <c r="C317" s="8"/>
      <c r="D317" s="9"/>
      <c r="E317" s="6"/>
      <c r="X317" s="18">
        <v>10</v>
      </c>
    </row>
    <row r="318" spans="2:24">
      <c r="B318" s="6"/>
      <c r="C318" s="8"/>
      <c r="D318" s="9"/>
      <c r="E318" s="6"/>
      <c r="X318" s="18">
        <v>12</v>
      </c>
    </row>
    <row r="319" spans="2:24">
      <c r="B319" s="6"/>
      <c r="C319" s="8"/>
      <c r="D319" s="9"/>
      <c r="E319" s="6"/>
      <c r="X319" s="18">
        <v>15</v>
      </c>
    </row>
    <row r="320" spans="2:24">
      <c r="B320" s="6"/>
      <c r="C320" s="8"/>
      <c r="D320" s="9"/>
      <c r="E320" s="6"/>
      <c r="X320" s="18">
        <v>16</v>
      </c>
    </row>
    <row r="321" spans="2:24">
      <c r="B321" s="6"/>
      <c r="C321" s="8"/>
      <c r="D321" s="9"/>
      <c r="E321" s="6"/>
      <c r="X321" s="18">
        <v>18</v>
      </c>
    </row>
    <row r="322" spans="2:24">
      <c r="B322" s="6"/>
      <c r="C322" s="8"/>
      <c r="D322" s="9"/>
      <c r="E322" s="6"/>
      <c r="X322" s="18">
        <v>20</v>
      </c>
    </row>
    <row r="323" spans="2:24">
      <c r="B323" s="6"/>
      <c r="C323" s="8"/>
      <c r="D323" s="9"/>
      <c r="E323" s="6"/>
      <c r="X323" s="18">
        <v>22</v>
      </c>
    </row>
    <row r="324" spans="2:24">
      <c r="B324" s="6"/>
      <c r="C324" s="8"/>
      <c r="D324" s="9"/>
      <c r="E324" s="6"/>
      <c r="X324" s="18">
        <v>24</v>
      </c>
    </row>
    <row r="325" spans="2:24">
      <c r="B325" s="6"/>
      <c r="C325" s="8"/>
      <c r="D325" s="9"/>
      <c r="E325" s="6"/>
      <c r="X325" s="18">
        <v>27</v>
      </c>
    </row>
    <row r="326" spans="2:24">
      <c r="B326" s="6"/>
      <c r="C326" s="8"/>
      <c r="D326" s="9"/>
      <c r="E326" s="6"/>
      <c r="X326" s="18">
        <v>30</v>
      </c>
    </row>
    <row r="327" spans="2:24">
      <c r="B327" s="6"/>
      <c r="C327" s="8"/>
      <c r="D327" s="9"/>
      <c r="E327" s="6"/>
      <c r="X327" s="18">
        <v>33</v>
      </c>
    </row>
    <row r="328" spans="2:24">
      <c r="B328" s="6"/>
      <c r="C328" s="8"/>
      <c r="D328" s="9"/>
      <c r="E328" s="6"/>
      <c r="X328" s="18">
        <v>36</v>
      </c>
    </row>
    <row r="329" spans="2:24">
      <c r="B329" s="6"/>
      <c r="C329" s="8"/>
      <c r="D329" s="9"/>
      <c r="E329" s="6"/>
      <c r="X329" s="18">
        <v>39</v>
      </c>
    </row>
    <row r="330" spans="2:24">
      <c r="B330" s="6"/>
      <c r="C330" s="8"/>
      <c r="D330" s="9"/>
      <c r="E330" s="6"/>
      <c r="X330" s="18">
        <v>43</v>
      </c>
    </row>
    <row r="331" spans="2:24">
      <c r="B331" s="6"/>
      <c r="C331" s="8"/>
      <c r="D331" s="9"/>
      <c r="E331" s="6"/>
      <c r="X331" s="18">
        <v>47</v>
      </c>
    </row>
    <row r="332" spans="2:24">
      <c r="B332" s="6"/>
      <c r="C332" s="8"/>
      <c r="D332" s="9"/>
      <c r="E332" s="6"/>
      <c r="X332" s="18">
        <v>51</v>
      </c>
    </row>
    <row r="333" spans="2:24">
      <c r="B333" s="6"/>
      <c r="C333" s="8"/>
      <c r="D333" s="9"/>
      <c r="E333" s="6"/>
      <c r="X333" s="18">
        <v>56</v>
      </c>
    </row>
    <row r="334" spans="2:24">
      <c r="B334" s="6"/>
      <c r="C334" s="8"/>
      <c r="D334" s="9"/>
      <c r="E334" s="6"/>
      <c r="X334" s="18">
        <v>62</v>
      </c>
    </row>
    <row r="335" spans="2:24">
      <c r="B335" s="6"/>
      <c r="C335" s="8"/>
      <c r="D335" s="9"/>
      <c r="E335" s="6"/>
      <c r="X335" s="18">
        <v>68</v>
      </c>
    </row>
    <row r="336" spans="2:24">
      <c r="B336" s="6"/>
      <c r="C336" s="8"/>
      <c r="D336" s="9"/>
      <c r="E336" s="6"/>
      <c r="X336" s="18">
        <v>75</v>
      </c>
    </row>
    <row r="337" spans="2:24">
      <c r="B337" s="6"/>
      <c r="C337" s="8"/>
      <c r="D337" s="9"/>
      <c r="E337" s="6"/>
      <c r="X337" s="18">
        <v>82</v>
      </c>
    </row>
    <row r="338" spans="2:24">
      <c r="B338" s="6"/>
      <c r="C338" s="8"/>
      <c r="D338" s="9"/>
      <c r="E338" s="6"/>
      <c r="X338" s="18">
        <v>91</v>
      </c>
    </row>
    <row r="339" spans="2:24">
      <c r="B339" s="6"/>
      <c r="C339" s="8"/>
      <c r="D339" s="9"/>
      <c r="E339" s="6"/>
      <c r="X339" s="18">
        <v>100</v>
      </c>
    </row>
    <row r="340" spans="2:24">
      <c r="B340" s="6"/>
      <c r="C340" s="8"/>
      <c r="D340" s="9"/>
      <c r="E340" s="6"/>
      <c r="X340" s="18">
        <v>120</v>
      </c>
    </row>
    <row r="341" spans="2:24">
      <c r="B341" s="6"/>
      <c r="C341" s="8"/>
      <c r="D341" s="9"/>
      <c r="E341" s="6"/>
      <c r="X341" s="18">
        <v>150</v>
      </c>
    </row>
    <row r="342" spans="2:24">
      <c r="X342" s="18">
        <v>180</v>
      </c>
    </row>
    <row r="343" spans="2:24">
      <c r="X343" s="18">
        <v>200</v>
      </c>
    </row>
    <row r="344" spans="2:24">
      <c r="X344" s="18">
        <v>220</v>
      </c>
    </row>
    <row r="345" spans="2:24">
      <c r="X345" s="18">
        <v>240</v>
      </c>
    </row>
    <row r="346" spans="2:24">
      <c r="X346" s="18">
        <v>270</v>
      </c>
    </row>
    <row r="347" spans="2:24">
      <c r="X347" s="18">
        <v>300</v>
      </c>
    </row>
    <row r="348" spans="2:24">
      <c r="X348" s="18">
        <v>330</v>
      </c>
    </row>
    <row r="349" spans="2:24">
      <c r="X349" s="18">
        <v>470</v>
      </c>
    </row>
  </sheetData>
  <sheetProtection password="9B9C" sheet="1" objects="1" scenarios="1"/>
  <mergeCells count="16">
    <mergeCell ref="B40:E40"/>
    <mergeCell ref="B29:E29"/>
    <mergeCell ref="B112:E112"/>
    <mergeCell ref="B1:E1"/>
    <mergeCell ref="B34:E34"/>
    <mergeCell ref="B13:E13"/>
    <mergeCell ref="B4:E4"/>
    <mergeCell ref="B18:E18"/>
    <mergeCell ref="B65:E65"/>
    <mergeCell ref="B71:E71"/>
    <mergeCell ref="B77:E77"/>
    <mergeCell ref="B87:E87"/>
    <mergeCell ref="B101:E101"/>
    <mergeCell ref="B83:E83"/>
    <mergeCell ref="B2:E2"/>
    <mergeCell ref="B14:E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L6599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cp:lastPrinted>2018-06-02T16:00:07Z</cp:lastPrinted>
  <dcterms:created xsi:type="dcterms:W3CDTF">2018-05-28T16:50:29Z</dcterms:created>
  <dcterms:modified xsi:type="dcterms:W3CDTF">2019-11-30T14:24:11Z</dcterms:modified>
</cp:coreProperties>
</file>